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activeX/activeX9.bin" ContentType="application/vnd.ms-office.activeX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activeX/activeX5.bin" ContentType="application/vnd.ms-office.activeX"/>
  <Override PartName="/xl/activeX/activeX6.bin" ContentType="application/vnd.ms-office.activeX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activeX/activeX3.bin" ContentType="application/vnd.ms-office.activeX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activeX/activeX1.bin" ContentType="application/vnd.ms-office.activeX"/>
  <Override PartName="/xl/activeX/activeX8.xml" ContentType="application/vnd.ms-office.activeX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Default Extension="jpeg" ContentType="image/jpeg"/>
  <Override PartName="/xl/activeX/activeX6.xml" ContentType="application/vnd.ms-office.activeX+xml"/>
  <Default Extension="emf" ContentType="image/x-emf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640" tabRatio="893"/>
  </bookViews>
  <sheets>
    <sheet name="START" sheetId="340" r:id="rId1"/>
    <sheet name="Instructions" sheetId="341" r:id="rId2"/>
    <sheet name="Template names" sheetId="100" r:id="rId3"/>
    <sheet name="Lookup and lists" sheetId="336" r:id="rId4"/>
    <sheet name="E1-Sum" sheetId="280" r:id="rId5"/>
    <sheet name="E2-FinPerf" sheetId="196" r:id="rId6"/>
    <sheet name="E3-Capex" sheetId="195" r:id="rId7"/>
    <sheet name="E4-FinPos" sheetId="194" r:id="rId8"/>
    <sheet name="E5-CFlow" sheetId="193" r:id="rId9"/>
    <sheet name="SE1" sheetId="192" r:id="rId10"/>
    <sheet name="SE2" sheetId="191" r:id="rId11"/>
    <sheet name="SE3" sheetId="286" r:id="rId12"/>
    <sheet name="SE4" sheetId="287" r:id="rId13"/>
    <sheet name="SE5" sheetId="278" r:id="rId14"/>
    <sheet name="SE6a" sheetId="339" r:id="rId15"/>
    <sheet name="SE6b" sheetId="338" r:id="rId16"/>
    <sheet name="SE6c" sheetId="337" r:id="rId17"/>
    <sheet name="SE7" sheetId="333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ADJ1" localSheetId="1">'[6]Template names'!#REF!</definedName>
    <definedName name="_ADJ1">'Template names'!#REF!</definedName>
    <definedName name="_ADJ10" localSheetId="1">'[6]Template names'!#REF!</definedName>
    <definedName name="_ADJ10">'Template names'!#REF!</definedName>
    <definedName name="ADJ10plus" localSheetId="1">'[6]Template names'!#REF!</definedName>
    <definedName name="ADJ10plus">'Template names'!#REF!</definedName>
    <definedName name="_ADJ11" localSheetId="1">'[6]Template names'!#REF!</definedName>
    <definedName name="_ADJ11">'Template names'!#REF!</definedName>
    <definedName name="_ADJ12" localSheetId="1">'[6]Template names'!#REF!</definedName>
    <definedName name="_ADJ12">'Template names'!#REF!</definedName>
    <definedName name="_ADJ13" localSheetId="1">'[6]Template names'!#REF!</definedName>
    <definedName name="_ADJ13">'Template names'!#REF!</definedName>
    <definedName name="_ADJ14" localSheetId="1">'[6]Template names'!#REF!</definedName>
    <definedName name="_ADJ14">'Template names'!#REF!</definedName>
    <definedName name="_ADJ16" localSheetId="1">'[6]Template names'!#REF!</definedName>
    <definedName name="_ADJ16">'Template names'!#REF!</definedName>
    <definedName name="_ADJ17" localSheetId="1">'[6]Template names'!#REF!</definedName>
    <definedName name="_ADJ17">'Template names'!#REF!</definedName>
    <definedName name="_ADJ18" localSheetId="1">'[6]Template names'!#REF!</definedName>
    <definedName name="_ADJ18">'Template names'!#REF!</definedName>
    <definedName name="ADJ18A" localSheetId="1">'[6]Template names'!#REF!</definedName>
    <definedName name="ADJ18A">'Template names'!#REF!</definedName>
    <definedName name="ADJ18B" localSheetId="1">'[6]Template names'!#REF!</definedName>
    <definedName name="ADJ18B">'Template names'!#REF!</definedName>
    <definedName name="_ADJ19" localSheetId="1">'[6]Template names'!#REF!</definedName>
    <definedName name="_ADJ19">'Template names'!#REF!</definedName>
    <definedName name="ADJ19B" localSheetId="1">'[6]Template names'!#REF!</definedName>
    <definedName name="ADJ19B">'Template names'!#REF!</definedName>
    <definedName name="_ADJ2" localSheetId="1">'[6]Template names'!#REF!</definedName>
    <definedName name="_ADJ2">'Template names'!#REF!</definedName>
    <definedName name="_ADJ3" localSheetId="1">'[6]Template names'!#REF!</definedName>
    <definedName name="_ADJ3">'Template names'!#REF!</definedName>
    <definedName name="_ADJ4" localSheetId="1">'[6]Template names'!#REF!</definedName>
    <definedName name="_ADJ4">'Template names'!#REF!</definedName>
    <definedName name="_ADJ5" localSheetId="1">'[6]Template names'!#REF!</definedName>
    <definedName name="_ADJ5">'Template names'!#REF!</definedName>
    <definedName name="_ADJ6" localSheetId="1">'[6]Template names'!#REF!</definedName>
    <definedName name="_ADJ6">'Template names'!#REF!</definedName>
    <definedName name="_ADJ7" localSheetId="1">'[6]Template names'!#REF!</definedName>
    <definedName name="_ADJ7">'Template names'!#REF!</definedName>
    <definedName name="_ADJ8" localSheetId="1">'[6]Template names'!#REF!</definedName>
    <definedName name="_ADJ8">'Template names'!#REF!</definedName>
    <definedName name="ADJ8A" localSheetId="1">'[6]Template names'!#REF!</definedName>
    <definedName name="ADJ8A">'Template names'!#REF!</definedName>
    <definedName name="ADJ8B" localSheetId="1">'[6]Template names'!#REF!</definedName>
    <definedName name="ADJ8B">'Template names'!#REF!</definedName>
    <definedName name="_ADJ9" localSheetId="1">'[6]Template names'!#REF!</definedName>
    <definedName name="_ADJ9">'Template names'!#REF!</definedName>
    <definedName name="ADJP1" localSheetId="1">'[6]Template names'!#REF!</definedName>
    <definedName name="ADJP1">'Template names'!#REF!</definedName>
    <definedName name="adjsum" localSheetId="1">'[6]Template names'!#REF!</definedName>
    <definedName name="adjsum">'Template names'!#REF!</definedName>
    <definedName name="ADJTB1" localSheetId="1">'[6]Template names'!#REF!</definedName>
    <definedName name="ADJTB1">'Template names'!#REF!</definedName>
    <definedName name="ADJXX" localSheetId="1">'[6]Template names'!#REF!</definedName>
    <definedName name="ADJXX">'Template names'!#REF!</definedName>
    <definedName name="Approve10">'[4]Template names'!$B$109</definedName>
    <definedName name="assetsched">'Template names'!#REF!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1">#REF!</definedName>
    <definedName name="balloon">#REF!</definedName>
    <definedName name="basedesc">'Template names'!$D$40:$D$40</definedName>
    <definedName name="baseindex">'Template names'!#REF!</definedName>
    <definedName name="Bus" localSheetId="1">#REF!</definedName>
    <definedName name="Bus">#REF!</definedName>
    <definedName name="Capex">'E3-Capex'!$A$7</definedName>
    <definedName name="capexfactor" localSheetId="1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1">#REF!</definedName>
    <definedName name="capexrate04">#REF!</definedName>
    <definedName name="capexrate05" localSheetId="1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>#REF!</definedName>
    <definedName name="Cash1">'Template names'!$B$72</definedName>
    <definedName name="Cash2">'Template names'!$B$73</definedName>
    <definedName name="_ccf04" localSheetId="1">#REF!</definedName>
    <definedName name="_ccf04">#REF!</definedName>
    <definedName name="_ccf05" localSheetId="1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harges1">'Template names'!#REF!</definedName>
    <definedName name="choosebase">'Template names'!#REF!</definedName>
    <definedName name="Consolques">'Template names'!#REF!</definedName>
    <definedName name="_cpi1">'[2]Balance Sheet'!$D$50</definedName>
    <definedName name="_cpi2">'[2]Balance Sheet'!$E$50</definedName>
    <definedName name="_cpi3">'[2]Balance Sheet'!$F$50</definedName>
    <definedName name="cpix04" localSheetId="1">#REF!</definedName>
    <definedName name="cpix04">#REF!</definedName>
    <definedName name="cpix05" localSheetId="1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1">#REF!</definedName>
    <definedName name="credit06">#REF!</definedName>
    <definedName name="Date" localSheetId="1">Instructions!$X$10</definedName>
    <definedName name="Date">Instructions!$X$10</definedName>
    <definedName name="debt03" localSheetId="1">#REF!</definedName>
    <definedName name="debt03">#REF!</definedName>
    <definedName name="debt04" localSheetId="1">#REF!</definedName>
    <definedName name="debt04">#REF!</definedName>
    <definedName name="debt05" localSheetId="1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1">#REF!</definedName>
    <definedName name="debtrev04">#REF!</definedName>
    <definedName name="debtrev05" localSheetId="1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_DEP1">'Template names'!#REF!</definedName>
    <definedName name="_DEP10">'Template names'!#REF!</definedName>
    <definedName name="_DEP11">'Template names'!#REF!</definedName>
    <definedName name="_DEP12">'Template names'!#REF!</definedName>
    <definedName name="_DEP13">'Template names'!#REF!</definedName>
    <definedName name="_DEP14">'Template names'!#REF!</definedName>
    <definedName name="_DEP2">'Template names'!#REF!</definedName>
    <definedName name="_DEP3">'Template names'!#REF!</definedName>
    <definedName name="_DEP4">'Template names'!#REF!</definedName>
    <definedName name="_DEP5">'Template names'!#REF!</definedName>
    <definedName name="_DEP6">'Template names'!#REF!</definedName>
    <definedName name="_DEP7">'Template names'!#REF!</definedName>
    <definedName name="_DEP8">'Template names'!#REF!</definedName>
    <definedName name="_DEP9">'Template names'!#REF!</definedName>
    <definedName name="desc">'Template names'!$B$31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1">#REF!</definedName>
    <definedName name="ecchoice">#REF!</definedName>
    <definedName name="_ecf04" localSheetId="1">#REF!</definedName>
    <definedName name="_ecf04">#REF!</definedName>
    <definedName name="_ecf05" localSheetId="1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elec05" localSheetId="1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_emp04" localSheetId="1">#REF!</definedName>
    <definedName name="_emp04">#REF!</definedName>
    <definedName name="_emp05" localSheetId="1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Ent1">'Template names'!#REF!</definedName>
    <definedName name="_Ent2">'Template names'!#REF!</definedName>
    <definedName name="_Ent3">'Template names'!#REF!</definedName>
    <definedName name="entity">'Template names'!$B$76</definedName>
    <definedName name="EOYcapex">#REF!</definedName>
    <definedName name="eskom07" localSheetId="1">#REF!</definedName>
    <definedName name="eskom07">#REF!</definedName>
    <definedName name="fdil">'Template names'!$B$32</definedName>
    <definedName name="FinYear" localSheetId="1">Instructions!$X$38</definedName>
    <definedName name="finyear">[1]Data!$B$4</definedName>
    <definedName name="finyears" localSheetId="1">#REF!</definedName>
    <definedName name="finyears">#REF!</definedName>
    <definedName name="finyr">'[7]Template names'!#REF!</definedName>
    <definedName name="Fundnote">'Template names'!#REF!</definedName>
    <definedName name="Head1">'Template names'!$B$2</definedName>
    <definedName name="Head10">'Template names'!$B$17</definedName>
    <definedName name="Head11">'Template names'!$B$18</definedName>
    <definedName name="Head12">'Template names'!$B$19</definedName>
    <definedName name="Head13">'Template names'!$B$20</definedName>
    <definedName name="Head14">'Template names'!$B$21</definedName>
    <definedName name="Head15">'Template names'!$B$22</definedName>
    <definedName name="Head16">'Template names'!$B$23</definedName>
    <definedName name="Head17">'Template names'!$B$24</definedName>
    <definedName name="Head18">'Template names'!$B$25</definedName>
    <definedName name="Head19">'Template names'!$B$26</definedName>
    <definedName name="head1A">'Template names'!$B$3</definedName>
    <definedName name="head1b">'Template names'!$B$4</definedName>
    <definedName name="Head2">'Template names'!$B$5</definedName>
    <definedName name="Head20">'Template names'!$B$27</definedName>
    <definedName name="Head21">'Template names'!$B$28</definedName>
    <definedName name="Head22">'Template names'!$B$29</definedName>
    <definedName name="Head23">'Template names'!$B$30</definedName>
    <definedName name="Head24">'Template names'!$B$31</definedName>
    <definedName name="head27">'Template names'!$B$34</definedName>
    <definedName name="head27a">'Template names'!$B$35</definedName>
    <definedName name="Head29">'Template names'!$B$37</definedName>
    <definedName name="Head2A">'Template names'!$B$6</definedName>
    <definedName name="Head2B">'[7]Template names'!#REF!</definedName>
    <definedName name="Head3">'Template names'!$B$7</definedName>
    <definedName name="Head30">'Template names'!$B$38</definedName>
    <definedName name="Head31">'Template names'!$B$39</definedName>
    <definedName name="Head32">'Template names'!$B$40</definedName>
    <definedName name="Head33">'Template names'!$B$41</definedName>
    <definedName name="Head34">'Template names'!$B$42</definedName>
    <definedName name="Head35">'Template names'!$B$43</definedName>
    <definedName name="Head36">'Template names'!$B$44</definedName>
    <definedName name="Head37">'Template names'!$B$45</definedName>
    <definedName name="Head38">'Template names'!$B$46</definedName>
    <definedName name="Head39">'Template names'!$B$47</definedName>
    <definedName name="Head3a">'Template names'!$B$8</definedName>
    <definedName name="Head4">'Template names'!$B$9</definedName>
    <definedName name="Head40">'Template names'!$B$48</definedName>
    <definedName name="Head41">'Template names'!$B$49</definedName>
    <definedName name="Head42">'Template names'!$B$50</definedName>
    <definedName name="Head43">'Template names'!$B$51</definedName>
    <definedName name="Head44">'Template names'!$B$52</definedName>
    <definedName name="Head45">'Template names'!$B$53</definedName>
    <definedName name="head46">'Template names'!$B$54</definedName>
    <definedName name="Head47">'Template names'!$B$55</definedName>
    <definedName name="Head48">'Template names'!$B$56</definedName>
    <definedName name="Head49">'Template names'!$B$57</definedName>
    <definedName name="Head5">'Template names'!$B$10</definedName>
    <definedName name="Head50">'Template names'!$B$58</definedName>
    <definedName name="Head51">'Template names'!$B$59</definedName>
    <definedName name="Head52">'Template names'!$B$60</definedName>
    <definedName name="Head53">'Template names'!$B$61</definedName>
    <definedName name="Head54">'Template names'!$B$62</definedName>
    <definedName name="Head55">'Template names'!$B$63</definedName>
    <definedName name="Head56">'Template names'!$B$64</definedName>
    <definedName name="Head57">'Template names'!$B$65</definedName>
    <definedName name="Head58">'Template names'!$B$66</definedName>
    <definedName name="Head59">'Template names'!$B$67</definedName>
    <definedName name="Head5A">'Template names'!$B$11</definedName>
    <definedName name="Head5b">'Template names'!$B$12</definedName>
    <definedName name="Head6">'Template names'!$B$13</definedName>
    <definedName name="Head7">'Template names'!$B$14</definedName>
    <definedName name="Head8">'Template names'!$B$15</definedName>
    <definedName name="Head9">'Template names'!$B$16</definedName>
    <definedName name="Headings">'Lookup and lists'!$A$1:$O$24</definedName>
    <definedName name="hhgr05" localSheetId="1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1">#REF!</definedName>
    <definedName name="incentive">#REF!</definedName>
    <definedName name="_inf1" localSheetId="1">#REF!</definedName>
    <definedName name="_inf1">#REF!</definedName>
    <definedName name="_inf2" localSheetId="1">#REF!</definedName>
    <definedName name="_inf2">#REF!</definedName>
    <definedName name="_inf3" localSheetId="1">#REF!</definedName>
    <definedName name="_inf3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_int04" localSheetId="1">#REF!</definedName>
    <definedName name="_int04">#REF!</definedName>
    <definedName name="_int05" localSheetId="1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1">#REF!</definedName>
    <definedName name="_inv04">#REF!</definedName>
    <definedName name="_inv05" localSheetId="1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inventory" localSheetId="1">#REF!</definedName>
    <definedName name="inventory">#REF!</definedName>
    <definedName name="longterm" localSheetId="1">#REF!</definedName>
    <definedName name="longterm">#REF!</definedName>
    <definedName name="MEAB1" localSheetId="1">'[6]Template names'!#REF!</definedName>
    <definedName name="MEAB1">'Template names'!$B$81</definedName>
    <definedName name="MEAB10" localSheetId="1">'[6]Template names'!#REF!</definedName>
    <definedName name="MEAB10a">'Template names'!$B$90</definedName>
    <definedName name="MEAB10b">'Template names'!$B$91</definedName>
    <definedName name="MEAB10c">'Template names'!$B$92</definedName>
    <definedName name="MEAB11" localSheetId="1">'[6]Template names'!#REF!</definedName>
    <definedName name="MEAB11">'Template names'!$B$93</definedName>
    <definedName name="MEAB12">'Template names'!$B$94</definedName>
    <definedName name="MEAB2" localSheetId="1">'[6]Template names'!#REF!</definedName>
    <definedName name="MEAB2">'Template names'!$B$82</definedName>
    <definedName name="MEAB3" localSheetId="1">'[6]Template names'!#REF!</definedName>
    <definedName name="MEAB3">'Template names'!$B$83</definedName>
    <definedName name="MEAB4" localSheetId="1">'[6]Template names'!#REF!</definedName>
    <definedName name="MEAB4">'Template names'!$B$84</definedName>
    <definedName name="MEAB5" localSheetId="1">'[6]Template names'!#REF!</definedName>
    <definedName name="MEAB5">'Template names'!$B$85</definedName>
    <definedName name="MEAB6" localSheetId="1">'[6]Template names'!#REF!</definedName>
    <definedName name="MEAB6">'Template names'!$B$86</definedName>
    <definedName name="MEAB7" localSheetId="1">'[6]Template names'!#REF!</definedName>
    <definedName name="MEAB7">'Template names'!$B$87</definedName>
    <definedName name="MEAB8" localSheetId="1">'[6]Template names'!#REF!</definedName>
    <definedName name="MEAB8">'Template names'!$B$88</definedName>
    <definedName name="MEAB9" localSheetId="1">'[6]Template names'!#REF!</definedName>
    <definedName name="MEAB9">'Template names'!$B$89</definedName>
    <definedName name="MEABsum" localSheetId="1">'[6]Template names'!#REF!</definedName>
    <definedName name="MEABsum">'Template names'!$B$80</definedName>
    <definedName name="_MEB1" localSheetId="1">'[6]Template names'!#REF!</definedName>
    <definedName name="_MEB1">'Template names'!#REF!</definedName>
    <definedName name="_MEB10" localSheetId="1">'[6]Template names'!#REF!</definedName>
    <definedName name="_MEB10">'Template names'!#REF!</definedName>
    <definedName name="_MEB11" localSheetId="1">'[6]Template names'!#REF!</definedName>
    <definedName name="_MEB11">'Template names'!#REF!</definedName>
    <definedName name="_MEB12" localSheetId="1">'[6]Template names'!#REF!</definedName>
    <definedName name="_MEB12">'Template names'!#REF!</definedName>
    <definedName name="MEB1A" localSheetId="1">'[6]Template names'!#REF!</definedName>
    <definedName name="MEB1A">'Template names'!#REF!</definedName>
    <definedName name="_MEB2" localSheetId="1">'[6]Template names'!#REF!</definedName>
    <definedName name="_MEB2">'Template names'!#REF!</definedName>
    <definedName name="_MEB3" localSheetId="1">'[6]Template names'!#REF!</definedName>
    <definedName name="_MEB3">'Template names'!#REF!</definedName>
    <definedName name="_MEB4" localSheetId="1">'[6]Template names'!#REF!</definedName>
    <definedName name="_MEB4">'Template names'!#REF!</definedName>
    <definedName name="_MEB5" localSheetId="1">'[6]Template names'!#REF!</definedName>
    <definedName name="_MEB5">'Template names'!#REF!</definedName>
    <definedName name="_MEB6" localSheetId="1">'[6]Template names'!#REF!</definedName>
    <definedName name="_MEB6">'Template names'!#REF!</definedName>
    <definedName name="_MEB7" localSheetId="1">'[6]Template names'!#REF!</definedName>
    <definedName name="_MEB7">'Template names'!#REF!</definedName>
    <definedName name="_MEB8" localSheetId="1">'[6]Template names'!#REF!</definedName>
    <definedName name="_MEB8">'Template names'!#REF!</definedName>
    <definedName name="_MEB9" localSheetId="1">'[6]Template names'!#REF!</definedName>
    <definedName name="_MEB9">'Template names'!#REF!</definedName>
    <definedName name="MEBsum" localSheetId="1">'[6]Template names'!#REF!</definedName>
    <definedName name="MEBsum">'Template names'!#REF!</definedName>
    <definedName name="_MER1" localSheetId="1">'[6]Template names'!#REF!</definedName>
    <definedName name="_MER1">'Template names'!#REF!</definedName>
    <definedName name="_MER10" localSheetId="1">'[6]Template names'!#REF!</definedName>
    <definedName name="_MER10">'Template names'!#REF!</definedName>
    <definedName name="_MER11" localSheetId="1">'[6]Template names'!#REF!</definedName>
    <definedName name="_MER11">'Template names'!#REF!</definedName>
    <definedName name="_MER2" localSheetId="1">'[6]Template names'!#REF!</definedName>
    <definedName name="_MER2">'Template names'!#REF!</definedName>
    <definedName name="_MER3" localSheetId="1">'[6]Template names'!#REF!</definedName>
    <definedName name="_MER3">'Template names'!#REF!</definedName>
    <definedName name="_MER4" localSheetId="1">'[6]Template names'!#REF!</definedName>
    <definedName name="_MER4">'Template names'!#REF!</definedName>
    <definedName name="_MER5" localSheetId="1">'[6]Template names'!#REF!</definedName>
    <definedName name="_MER5">'Template names'!#REF!</definedName>
    <definedName name="_MER6" localSheetId="1">'[6]Template names'!#REF!</definedName>
    <definedName name="_MER6">'Template names'!#REF!</definedName>
    <definedName name="_MER7" localSheetId="1">'[6]Template names'!#REF!</definedName>
    <definedName name="_MER7">'Template names'!#REF!</definedName>
    <definedName name="_MER8" localSheetId="1">'[6]Template names'!#REF!</definedName>
    <definedName name="_MER8">'Template names'!#REF!</definedName>
    <definedName name="_MER9" localSheetId="1">'[6]Template names'!#REF!</definedName>
    <definedName name="_MER9">'Template names'!#REF!</definedName>
    <definedName name="MERsum" localSheetId="1">'[6]Template names'!#REF!</definedName>
    <definedName name="MERsum">'Template names'!#REF!</definedName>
    <definedName name="month">[1]Data!$B$1</definedName>
    <definedName name="MTREF" localSheetId="1">Instructions!$X$36</definedName>
    <definedName name="MTREF">Instructions!$X$36</definedName>
    <definedName name="muni">'Template names'!$B$76</definedName>
    <definedName name="MuniEntities">'[6]Template names'!$B$64</definedName>
    <definedName name="munishort">'Template names'!$B$77</definedName>
    <definedName name="MuniType">'[6]Template names'!$D$64</definedName>
    <definedName name="nersa07" localSheetId="1">#REF!</definedName>
    <definedName name="nersa07">#REF!</definedName>
    <definedName name="nersa08" localSheetId="1">#REF!</definedName>
    <definedName name="nersa08">#REF!</definedName>
    <definedName name="nethhgr05" localSheetId="1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ewTable25">'Template names'!#REF!</definedName>
    <definedName name="ninety" localSheetId="1">#REF!</definedName>
    <definedName name="ninety">#REF!</definedName>
    <definedName name="Note20">[3]Names!$B$89</definedName>
    <definedName name="poorgr06">#REF!</definedName>
    <definedName name="_xlnm.Print_Area" localSheetId="4">'E1-Sum'!$A$1:$K$47</definedName>
    <definedName name="_xlnm.Print_Area" localSheetId="5">'E2-FinPerf'!$A$1:$L$51</definedName>
    <definedName name="_xlnm.Print_Area" localSheetId="6">'E3-Capex'!$A$1:$L$50</definedName>
    <definedName name="_xlnm.Print_Area" localSheetId="7">'E4-FinPos'!$A$1:$L$56</definedName>
    <definedName name="_xlnm.Print_Area" localSheetId="8">'E5-CFlow'!$A$1:$L$50</definedName>
    <definedName name="_xlnm.Print_Area" localSheetId="1">Instructions!$A$1:$M$49</definedName>
    <definedName name="_xlnm.Print_Area" localSheetId="9">'SE1'!$A$1:$L$34</definedName>
    <definedName name="_xlnm.Print_Area" localSheetId="11">'SE3'!$A$1:$J$26</definedName>
    <definedName name="_xlnm.Print_Area" localSheetId="12">'SE4'!$A$1:$L$58</definedName>
    <definedName name="_xlnm.Print_Area" localSheetId="13">'SE5'!$A$1:$P$48</definedName>
    <definedName name="proptax07">#REF!</definedName>
    <definedName name="Rand000" localSheetId="1">#REF!</definedName>
    <definedName name="Rand000">#REF!</definedName>
    <definedName name="RandM">'Template names'!$B$74</definedName>
    <definedName name="_rat03" localSheetId="1">#REF!</definedName>
    <definedName name="_rat03">#REF!</definedName>
    <definedName name="_rat04" localSheetId="1">#REF!</definedName>
    <definedName name="_rat04">#REF!</definedName>
    <definedName name="_rat05" localSheetId="1">#REF!</definedName>
    <definedName name="_rat05">#REF!</definedName>
    <definedName name="_rat06" localSheetId="1">#REF!</definedName>
    <definedName name="_rat06">#REF!</definedName>
    <definedName name="_rat07" localSheetId="1">#REF!</definedName>
    <definedName name="_rat07">#REF!</definedName>
    <definedName name="_rat08" localSheetId="1">#REF!</definedName>
    <definedName name="_rat08">#REF!</definedName>
    <definedName name="_rat09" localSheetId="1">#REF!</definedName>
    <definedName name="_rat09">#REF!</definedName>
    <definedName name="_rat10" localSheetId="1">#REF!</definedName>
    <definedName name="_rat10">#REF!</definedName>
    <definedName name="_rat11" localSheetId="1">#REF!</definedName>
    <definedName name="_rat11">#REF!</definedName>
    <definedName name="_rat12" localSheetId="1">#REF!</definedName>
    <definedName name="_rat12">#REF!</definedName>
    <definedName name="_rat13" localSheetId="1">#REF!</definedName>
    <definedName name="_rat13">#REF!</definedName>
    <definedName name="Rates1">'Template names'!#REF!</definedName>
    <definedName name="Rates2">'Template names'!#REF!</definedName>
    <definedName name="Rates3">'Template names'!#REF!</definedName>
    <definedName name="REDHHGR06" localSheetId="1">#REF!</definedName>
    <definedName name="REDHHGR06">#REF!</definedName>
    <definedName name="redhhgr07" localSheetId="1">#REF!</definedName>
    <definedName name="redhhgr07">#REF!</definedName>
    <definedName name="redrev06" localSheetId="1">#REF!</definedName>
    <definedName name="redrev06">#REF!</definedName>
    <definedName name="redrev07" localSheetId="1">#REF!</definedName>
    <definedName name="redrev07">#REF!</definedName>
    <definedName name="Reds" localSheetId="1">#REF!</definedName>
    <definedName name="Reds">#REF!</definedName>
    <definedName name="renewyears">#REF!</definedName>
    <definedName name="Request0506" localSheetId="1">#REF!</definedName>
    <definedName name="Request0506">#REF!</definedName>
    <definedName name="resiprop">#REF!</definedName>
    <definedName name="result">'Template names'!$B$36</definedName>
    <definedName name="_rgr05" localSheetId="1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>#REF!</definedName>
    <definedName name="_rgr19">#REF!</definedName>
    <definedName name="_rgr20">#REF!</definedName>
    <definedName name="_rmc05" localSheetId="1">#REF!</definedName>
    <definedName name="_rmc05">#REF!</definedName>
    <definedName name="_rmc06">#REF!</definedName>
    <definedName name="_rmc07">#REF!</definedName>
    <definedName name="_rmc08">#REF!</definedName>
    <definedName name="_rmc09">#REF!</definedName>
    <definedName name="_rmc10">#REF!</definedName>
    <definedName name="_rmc11">#REF!</definedName>
    <definedName name="_rmc12">#REF!</definedName>
    <definedName name="_rmc13">#REF!</definedName>
    <definedName name="_rmc14">#REF!</definedName>
    <definedName name="_rmc15">#REF!</definedName>
    <definedName name="_rmc16">#REF!</definedName>
    <definedName name="_rmc17">#REF!</definedName>
    <definedName name="_rmc18">#REF!</definedName>
    <definedName name="_rmc19">#REF!</definedName>
    <definedName name="_rmc20">#REF!</definedName>
    <definedName name="_rmc21">#REF!</definedName>
    <definedName name="rmcRED06" localSheetId="1">#REF!</definedName>
    <definedName name="rmcRED06">#REF!</definedName>
    <definedName name="rmcred07" localSheetId="1">#REF!</definedName>
    <definedName name="rmcred07">#REF!</definedName>
    <definedName name="roundfactor" localSheetId="1">#REF!</definedName>
    <definedName name="roundfactor">#REF!</definedName>
    <definedName name="S71A" localSheetId="1">'[6]Template names'!#REF!</definedName>
    <definedName name="S71A">'Template names'!#REF!</definedName>
    <definedName name="S71B" localSheetId="1">'[6]Template names'!#REF!</definedName>
    <definedName name="S71B">'Template names'!#REF!</definedName>
    <definedName name="s71B8" localSheetId="1">'[6]Template names'!#REF!</definedName>
    <definedName name="s71B8">'Template names'!#REF!</definedName>
    <definedName name="s71B9" localSheetId="1">'[6]Template names'!#REF!</definedName>
    <definedName name="s71B9">'Template names'!#REF!</definedName>
    <definedName name="S71C" localSheetId="1">'[6]Template names'!#REF!</definedName>
    <definedName name="S71C">'Template names'!#REF!</definedName>
    <definedName name="S71D" localSheetId="1">'[6]Template names'!#REF!</definedName>
    <definedName name="S71D">'Template names'!#REF!</definedName>
    <definedName name="S71E" localSheetId="1">'[6]Template names'!#REF!</definedName>
    <definedName name="S71E">'Template names'!#REF!</definedName>
    <definedName name="S71F" localSheetId="1">'[6]Template names'!#REF!</definedName>
    <definedName name="S71F">'Template names'!#REF!</definedName>
    <definedName name="S71G" localSheetId="1">'[6]Template names'!#REF!</definedName>
    <definedName name="S71G">'Template names'!#REF!</definedName>
    <definedName name="S71H" localSheetId="1">'[6]Template names'!#REF!</definedName>
    <definedName name="S71H">'Template names'!#REF!</definedName>
    <definedName name="S71I" localSheetId="1">'[6]Template names'!#REF!</definedName>
    <definedName name="S71I">'Template names'!#REF!</definedName>
    <definedName name="S71J" localSheetId="1">'[6]Template names'!#REF!</definedName>
    <definedName name="S71J">'Template names'!#REF!</definedName>
    <definedName name="S71K" localSheetId="1">'[6]Template names'!#REF!</definedName>
    <definedName name="S71K">'Template names'!#REF!</definedName>
    <definedName name="S71L" localSheetId="1">'[6]Template names'!#REF!</definedName>
    <definedName name="S71L">'Template names'!#REF!</definedName>
    <definedName name="S71M" localSheetId="1">'[6]Template names'!#REF!</definedName>
    <definedName name="S71M">'Template names'!#REF!</definedName>
    <definedName name="S71N" localSheetId="1">'[6]Template names'!#REF!</definedName>
    <definedName name="S71N">'Template names'!#REF!</definedName>
    <definedName name="S71O" localSheetId="1">'[6]Template names'!#REF!</definedName>
    <definedName name="S71O">'Template names'!#REF!</definedName>
    <definedName name="S71P" localSheetId="1">'[6]Template names'!#REF!</definedName>
    <definedName name="S71P">'Template names'!#REF!</definedName>
    <definedName name="S71Q" localSheetId="1">'[6]Template names'!#REF!</definedName>
    <definedName name="S71Q">'Template names'!#REF!</definedName>
    <definedName name="S71SDBIP" localSheetId="1">'[6]Template names'!#REF!</definedName>
    <definedName name="S71SDBIP">'Template names'!#REF!</definedName>
    <definedName name="s71sum" localSheetId="1">'[6]Template names'!#REF!</definedName>
    <definedName name="s71sum">'Template names'!#REF!</definedName>
    <definedName name="Scale" localSheetId="1">'[7]Template names'!#REF!</definedName>
    <definedName name="Scale">'Template names'!#REF!</definedName>
    <definedName name="scenario" localSheetId="1">#REF!</definedName>
    <definedName name="scenario">#REF!</definedName>
    <definedName name="_Sch1" localSheetId="1">'[7]Template names'!#REF!</definedName>
    <definedName name="_Sch1">'Template names'!#REF!</definedName>
    <definedName name="_Sch10" localSheetId="1">'[7]Template names'!#REF!</definedName>
    <definedName name="_Sch10">'Template names'!#REF!</definedName>
    <definedName name="_sch11" localSheetId="1">'[7]Template names'!#REF!</definedName>
    <definedName name="_sch11">'Template names'!#REF!</definedName>
    <definedName name="Sch1a" localSheetId="1">'[7]Template names'!#REF!</definedName>
    <definedName name="Sch1a">'Template names'!#REF!</definedName>
    <definedName name="_Sch2" localSheetId="1">'[7]Template names'!#REF!</definedName>
    <definedName name="_Sch2">'Template names'!#REF!</definedName>
    <definedName name="Sch2N" localSheetId="1">'[7]Template names'!#REF!</definedName>
    <definedName name="Sch2N">'Template names'!#REF!</definedName>
    <definedName name="_Sch3" localSheetId="1">'[7]Template names'!#REF!</definedName>
    <definedName name="_Sch3">'Template names'!#REF!</definedName>
    <definedName name="_Sch4" localSheetId="1">'[7]Template names'!#REF!</definedName>
    <definedName name="_Sch4">'Template names'!#REF!</definedName>
    <definedName name="_Sch5" localSheetId="1">'[7]Template names'!#REF!</definedName>
    <definedName name="_Sch5">'Template names'!#REF!</definedName>
    <definedName name="Sch5N" localSheetId="1">'[7]Template names'!#REF!</definedName>
    <definedName name="Sch5N">'Template names'!#REF!</definedName>
    <definedName name="_Sch6" localSheetId="1">'[7]Template names'!#REF!</definedName>
    <definedName name="_Sch6">'Template names'!#REF!</definedName>
    <definedName name="_Sch7" localSheetId="1">'[7]Template names'!#REF!</definedName>
    <definedName name="_Sch7">'Template names'!#REF!</definedName>
    <definedName name="Sch7N" localSheetId="1">'[7]Template names'!#REF!</definedName>
    <definedName name="Sch7N">'Template names'!#REF!</definedName>
    <definedName name="_Sch8" localSheetId="1">'[7]Template names'!#REF!</definedName>
    <definedName name="_Sch8">'Template names'!#REF!</definedName>
    <definedName name="_Sch9" localSheetId="1">'[7]Template names'!#REF!</definedName>
    <definedName name="_Sch9">'Template names'!#REF!</definedName>
    <definedName name="SDBIP1" localSheetId="1">'[6]Template names'!#REF!</definedName>
    <definedName name="SDBIP1">'Template names'!#REF!</definedName>
    <definedName name="SDBIP10" localSheetId="1">'[6]Template names'!#REF!</definedName>
    <definedName name="SDBIP10">'Template names'!#REF!</definedName>
    <definedName name="SDBIP2" localSheetId="1">'[6]Template names'!#REF!</definedName>
    <definedName name="SDBIP2">'Template names'!#REF!</definedName>
    <definedName name="SDBIP3" localSheetId="1">'[6]Template names'!#REF!</definedName>
    <definedName name="SDBIP3">'Template names'!#REF!</definedName>
    <definedName name="SDBIP4" localSheetId="1">'[6]Template names'!#REF!</definedName>
    <definedName name="SDBIP4">'Template names'!#REF!</definedName>
    <definedName name="SDBIP8" localSheetId="1">'[6]Template names'!#REF!</definedName>
    <definedName name="SDBIP8">'Template names'!#REF!</definedName>
    <definedName name="_sdc05" localSheetId="1">#REF!</definedName>
    <definedName name="_sdc05">#REF!</definedName>
    <definedName name="_sdc06">#REF!</definedName>
    <definedName name="_sdc07">#REF!</definedName>
    <definedName name="_sdc08">#REF!</definedName>
    <definedName name="_sdc09">#REF!</definedName>
    <definedName name="_sdc10">#REF!</definedName>
    <definedName name="_sdc11">#REF!</definedName>
    <definedName name="_sdc12">#REF!</definedName>
    <definedName name="_sdc13">#REF!</definedName>
    <definedName name="_sdc14">#REF!</definedName>
    <definedName name="_sdc15">#REF!</definedName>
    <definedName name="_sdc16">#REF!</definedName>
    <definedName name="_sdc17">#REF!</definedName>
    <definedName name="_sdc18">#REF!</definedName>
    <definedName name="_sdc19">#REF!</definedName>
    <definedName name="_sdc20">#REF!</definedName>
    <definedName name="sdcred06">#REF!</definedName>
    <definedName name="SFPerf1">'Template names'!$B$68</definedName>
    <definedName name="SFPerf2">'Template names'!$B$69</definedName>
    <definedName name="SFpos1">'Template names'!$B$70</definedName>
    <definedName name="SFpos2">'Template names'!$B$71</definedName>
    <definedName name="TabC19" localSheetId="1">'[7]Template names'!#REF!</definedName>
    <definedName name="TabC19">'Template names'!#REF!</definedName>
    <definedName name="TabC3" localSheetId="1">'[6]Template names'!#REF!</definedName>
    <definedName name="TabC3">'Template names'!#REF!</definedName>
    <definedName name="TabC4" localSheetId="1">'[6]Template names'!#REF!</definedName>
    <definedName name="TabC4">'Template names'!#REF!</definedName>
    <definedName name="TabC5" localSheetId="1">'[6]Template names'!#REF!</definedName>
    <definedName name="TabC5">'Template names'!#REF!</definedName>
    <definedName name="TabC6" localSheetId="1">'[6]Template names'!#REF!</definedName>
    <definedName name="TabC6">'Template names'!#REF!</definedName>
    <definedName name="Tabc7" localSheetId="1">'[6]Template names'!#REF!</definedName>
    <definedName name="Tabc7">'Template names'!#REF!</definedName>
    <definedName name="Tabc8" localSheetId="1">'[6]Template names'!#REF!</definedName>
    <definedName name="Tabc8">'Template names'!#REF!</definedName>
    <definedName name="Tabc9" localSheetId="1">'[6]Template names'!#REF!</definedName>
    <definedName name="Tabc9">'Template names'!#REF!</definedName>
    <definedName name="Tablc8" localSheetId="1">'[6]Template names'!#REF!</definedName>
    <definedName name="Tablc8">'Template names'!#REF!</definedName>
    <definedName name="Table1" localSheetId="1">'[7]Template names'!#REF!</definedName>
    <definedName name="Table1">'Template names'!#REF!</definedName>
    <definedName name="Table10" localSheetId="1">'[7]Template names'!#REF!</definedName>
    <definedName name="Table10">'Template names'!#REF!</definedName>
    <definedName name="Table11" localSheetId="1">'[7]Template names'!#REF!</definedName>
    <definedName name="Table11">'Template names'!#REF!</definedName>
    <definedName name="Table12" localSheetId="1">'[7]Template names'!#REF!</definedName>
    <definedName name="Table12">'Template names'!#REF!</definedName>
    <definedName name="Table13" localSheetId="1">'[7]Template names'!#REF!</definedName>
    <definedName name="Table13">'Template names'!#REF!</definedName>
    <definedName name="Table14" localSheetId="1">'[7]Template names'!#REF!</definedName>
    <definedName name="Table14">'Template names'!#REF!</definedName>
    <definedName name="Table14A" localSheetId="1">'[7]Template names'!#REF!</definedName>
    <definedName name="Table14A">'Template names'!#REF!</definedName>
    <definedName name="Table14B" localSheetId="1">'[7]Template names'!#REF!</definedName>
    <definedName name="Table14B">'Template names'!#REF!</definedName>
    <definedName name="Table15" localSheetId="1">'[7]Template names'!#REF!</definedName>
    <definedName name="Table15">'Template names'!#REF!</definedName>
    <definedName name="Table15A" localSheetId="1">'[7]Template names'!#REF!</definedName>
    <definedName name="Table15A">'Template names'!#REF!</definedName>
    <definedName name="Table15New" localSheetId="1">'[7]Template names'!#REF!</definedName>
    <definedName name="Table15New">'Template names'!#REF!</definedName>
    <definedName name="Table16" localSheetId="1">'[7]Template names'!#REF!</definedName>
    <definedName name="Table16">'Template names'!#REF!</definedName>
    <definedName name="Table17" localSheetId="1">'[7]Template names'!#REF!</definedName>
    <definedName name="Table17">'Template names'!#REF!</definedName>
    <definedName name="Table18" localSheetId="1">'[7]Template names'!#REF!</definedName>
    <definedName name="Table18">'Template names'!#REF!</definedName>
    <definedName name="Table19" localSheetId="1">'[7]Template names'!#REF!</definedName>
    <definedName name="Table19">'Template names'!#REF!</definedName>
    <definedName name="Table2" localSheetId="1">'[7]Template names'!#REF!</definedName>
    <definedName name="Table2">'Template names'!#REF!</definedName>
    <definedName name="Table20" localSheetId="1">'[7]Template names'!#REF!</definedName>
    <definedName name="Table20">'Template names'!#REF!</definedName>
    <definedName name="Table21" localSheetId="1">'[7]Template names'!#REF!</definedName>
    <definedName name="Table21">'Template names'!#REF!</definedName>
    <definedName name="Table22" localSheetId="1">'[7]Template names'!#REF!</definedName>
    <definedName name="Table22">'Template names'!#REF!</definedName>
    <definedName name="Table23" localSheetId="1">'[7]Template names'!#REF!</definedName>
    <definedName name="Table23">'Template names'!#REF!</definedName>
    <definedName name="Table24" localSheetId="1">'[7]Template names'!#REF!</definedName>
    <definedName name="Table24">'Template names'!#REF!</definedName>
    <definedName name="Table24A" localSheetId="1">'[7]Template names'!#REF!</definedName>
    <definedName name="Table24A">'Template names'!#REF!</definedName>
    <definedName name="Table25" localSheetId="1">'[7]Template names'!#REF!</definedName>
    <definedName name="Table25">'Template names'!#REF!</definedName>
    <definedName name="Table26" localSheetId="1">'[7]Template names'!#REF!</definedName>
    <definedName name="Table26">'Template names'!#REF!</definedName>
    <definedName name="Table27" localSheetId="1">'[7]Template names'!#REF!</definedName>
    <definedName name="Table27">'Template names'!#REF!</definedName>
    <definedName name="Table28" localSheetId="1">'[7]Template names'!#REF!</definedName>
    <definedName name="Table28">'Template names'!#REF!</definedName>
    <definedName name="Table29" localSheetId="1">'[7]Template names'!#REF!</definedName>
    <definedName name="Table29">'Template names'!#REF!</definedName>
    <definedName name="Table3" localSheetId="1">'[7]Template names'!#REF!</definedName>
    <definedName name="Table3">'Template names'!#REF!</definedName>
    <definedName name="Table30" localSheetId="1">'[7]Template names'!#REF!</definedName>
    <definedName name="Table30">'Template names'!#REF!</definedName>
    <definedName name="Table31" localSheetId="1">'[7]Template names'!#REF!</definedName>
    <definedName name="Table31">'Template names'!#REF!</definedName>
    <definedName name="Table32" localSheetId="1">'[7]Template names'!#REF!</definedName>
    <definedName name="Table32">'Template names'!#REF!</definedName>
    <definedName name="Table33" localSheetId="1">'[7]Template names'!#REF!</definedName>
    <definedName name="Table33">'Template names'!#REF!</definedName>
    <definedName name="Table4" localSheetId="1">'[7]Template names'!#REF!</definedName>
    <definedName name="Table4">'Template names'!#REF!</definedName>
    <definedName name="Table5" localSheetId="1">'[7]Template names'!#REF!</definedName>
    <definedName name="Table5">'Template names'!#REF!</definedName>
    <definedName name="Table6" localSheetId="1">'[7]Template names'!#REF!</definedName>
    <definedName name="Table6">'Template names'!#REF!</definedName>
    <definedName name="Table7" localSheetId="1">'[7]Template names'!#REF!</definedName>
    <definedName name="Table7">'Template names'!#REF!</definedName>
    <definedName name="Table8" localSheetId="1">'[7]Template names'!#REF!</definedName>
    <definedName name="Table8">'Template names'!#REF!</definedName>
    <definedName name="Table9" localSheetId="1">'[7]Template names'!#REF!</definedName>
    <definedName name="Table9">'Template names'!#REF!</definedName>
    <definedName name="TableA9">'[4]Template names'!$B$119</definedName>
    <definedName name="TableD7" localSheetId="1">'[6]Template names'!#REF!</definedName>
    <definedName name="TableD7">'Template names'!#REF!</definedName>
    <definedName name="TableD8" localSheetId="1">'[6]Template names'!#REF!</definedName>
    <definedName name="TableD8">'Template names'!#REF!</definedName>
    <definedName name="TableE4" localSheetId="1">'[6]Template names'!#REF!</definedName>
    <definedName name="TableE4">'Template names'!#REF!</definedName>
    <definedName name="TableE7" localSheetId="1">'[6]Template names'!#REF!</definedName>
    <definedName name="TableE7">'Template names'!#REF!</definedName>
    <definedName name="TableE9" localSheetId="1">'[6]Template names'!#REF!</definedName>
    <definedName name="TableE9">'Template names'!#REF!</definedName>
    <definedName name="TableF6" localSheetId="1">'[6]Template names'!#REF!</definedName>
    <definedName name="TableF6">'[7]Template names'!#REF!</definedName>
    <definedName name="tariffdisc05" localSheetId="1">#REF!</definedName>
    <definedName name="tariffdisc05">#REF!</definedName>
    <definedName name="tariffdisc06">#REF!</definedName>
    <definedName name="tariffdisc07">#REF!</definedName>
    <definedName name="tariffdisc08">#REF!</definedName>
    <definedName name="tariffdisc09">#REF!</definedName>
    <definedName name="tariffdisc10">#REF!</definedName>
    <definedName name="tariffdisc11">#REF!</definedName>
    <definedName name="tariffdisc12">#REF!</definedName>
    <definedName name="tariffdisc13">#REF!</definedName>
    <definedName name="tariffdisc14">#REF!</definedName>
    <definedName name="tariffdisc15">#REF!</definedName>
    <definedName name="tariffdisc16">#REF!</definedName>
    <definedName name="tariffdisc17">#REF!</definedName>
    <definedName name="tariffdisc18">#REF!</definedName>
    <definedName name="tariffdisc19">#REF!</definedName>
    <definedName name="tariffdisc20">#REF!</definedName>
    <definedName name="title1">#REF!</definedName>
    <definedName name="Vdesc">'Template names'!$B$33</definedName>
    <definedName name="_wc05" localSheetId="1">#REF!</definedName>
    <definedName name="_wc05">#REF!</definedName>
    <definedName name="_wc06">#REF!</definedName>
    <definedName name="_wc07">#REF!</definedName>
    <definedName name="_wc08">#REF!</definedName>
    <definedName name="_wc09">#REF!</definedName>
    <definedName name="_wc10">#REF!</definedName>
    <definedName name="_wc11">#REF!</definedName>
    <definedName name="_wc12">#REF!</definedName>
    <definedName name="_wc13">#REF!</definedName>
    <definedName name="_wc14">#REF!</definedName>
    <definedName name="_wc15">#REF!</definedName>
    <definedName name="_wc16">#REF!</definedName>
    <definedName name="_wc17">#REF!</definedName>
    <definedName name="_wc18">#REF!</definedName>
    <definedName name="_wc19">#REF!</definedName>
    <definedName name="_wc20">#REF!</definedName>
    <definedName name="YesNo">'[5]Lookup and lists'!$L$2:$L$3</definedName>
    <definedName name="yrend">[1]Data!$B$3</definedName>
  </definedNames>
  <calcPr calcId="124519"/>
  <fileRecoveryPr autoRecover="0"/>
</workbook>
</file>

<file path=xl/calcChain.xml><?xml version="1.0" encoding="utf-8"?>
<calcChain xmlns="http://schemas.openxmlformats.org/spreadsheetml/2006/main">
  <c r="X34" i="341"/>
  <c r="L34" i="287" l="1"/>
  <c r="K34"/>
  <c r="C34"/>
  <c r="C16"/>
  <c r="M8" i="278"/>
  <c r="L8"/>
  <c r="K8"/>
  <c r="G23"/>
  <c r="G21"/>
  <c r="G18"/>
  <c r="G14"/>
  <c r="G13"/>
  <c r="F23"/>
  <c r="F21"/>
  <c r="F14"/>
  <c r="F13"/>
  <c r="F8"/>
  <c r="E23"/>
  <c r="E21"/>
  <c r="E14"/>
  <c r="E13"/>
  <c r="E8"/>
  <c r="D23"/>
  <c r="D21"/>
  <c r="D8"/>
  <c r="C23"/>
  <c r="C21"/>
  <c r="C14"/>
  <c r="C13"/>
  <c r="C8"/>
  <c r="B23"/>
  <c r="B21"/>
  <c r="B14"/>
  <c r="B13"/>
  <c r="B8"/>
  <c r="P21"/>
  <c r="P25" s="1"/>
  <c r="O21"/>
  <c r="N23"/>
  <c r="N18"/>
  <c r="N13"/>
  <c r="C8" i="195"/>
  <c r="L35" i="196"/>
  <c r="L39" s="1"/>
  <c r="K35"/>
  <c r="K39" s="1"/>
  <c r="I7"/>
  <c r="D37"/>
  <c r="D32"/>
  <c r="D27"/>
  <c r="C37"/>
  <c r="C32"/>
  <c r="K11" i="280"/>
  <c r="J11"/>
  <c r="G11"/>
  <c r="F11"/>
  <c r="E11"/>
  <c r="D11"/>
  <c r="H11" s="1"/>
  <c r="I11" s="1"/>
  <c r="C11"/>
  <c r="K9"/>
  <c r="J9"/>
  <c r="G9"/>
  <c r="F9"/>
  <c r="E9"/>
  <c r="H9" s="1"/>
  <c r="I9" s="1"/>
  <c r="D9"/>
  <c r="C9"/>
  <c r="B11"/>
  <c r="B9"/>
  <c r="I47" i="194"/>
  <c r="J47"/>
  <c r="H24" i="196"/>
  <c r="H40"/>
  <c r="H44"/>
  <c r="H46"/>
  <c r="G24"/>
  <c r="G40"/>
  <c r="G44"/>
  <c r="G46"/>
  <c r="L23" i="333"/>
  <c r="K23"/>
  <c r="J23"/>
  <c r="I23"/>
  <c r="H23"/>
  <c r="M47" i="278"/>
  <c r="I14" i="193"/>
  <c r="J14"/>
  <c r="I45" i="196"/>
  <c r="J45"/>
  <c r="B28" i="336"/>
  <c r="H4" i="278"/>
  <c r="C24" i="196"/>
  <c r="D24"/>
  <c r="E24"/>
  <c r="E40"/>
  <c r="E44"/>
  <c r="E46"/>
  <c r="B93" i="100"/>
  <c r="B89"/>
  <c r="B88"/>
  <c r="B87"/>
  <c r="B86"/>
  <c r="B85"/>
  <c r="C41" i="193"/>
  <c r="D40"/>
  <c r="D41" s="1"/>
  <c r="E40" s="1"/>
  <c r="D18"/>
  <c r="D28"/>
  <c r="C45" i="280"/>
  <c r="D37" i="193"/>
  <c r="D39"/>
  <c r="L18"/>
  <c r="L39"/>
  <c r="L28"/>
  <c r="L37"/>
  <c r="K46" i="280"/>
  <c r="K18" i="193"/>
  <c r="K28"/>
  <c r="K37"/>
  <c r="J46" i="280"/>
  <c r="K45"/>
  <c r="J45"/>
  <c r="L48" i="194"/>
  <c r="K41" i="280"/>
  <c r="K48" i="194"/>
  <c r="J41" i="280"/>
  <c r="L39" i="194"/>
  <c r="K40" i="280"/>
  <c r="K39" i="194"/>
  <c r="J40" i="280"/>
  <c r="L34" i="194"/>
  <c r="K39" i="280"/>
  <c r="K34" i="194"/>
  <c r="J39" i="280"/>
  <c r="L24" i="194"/>
  <c r="K38" i="280"/>
  <c r="K24" i="194"/>
  <c r="J38" i="280"/>
  <c r="L14" i="194"/>
  <c r="K37" i="280"/>
  <c r="K14" i="194"/>
  <c r="J37" i="280"/>
  <c r="L39" i="195"/>
  <c r="K30" i="280"/>
  <c r="K34" s="1"/>
  <c r="K31"/>
  <c r="K32"/>
  <c r="K33"/>
  <c r="K39" i="195"/>
  <c r="J30" i="280"/>
  <c r="J31"/>
  <c r="J32"/>
  <c r="J33"/>
  <c r="L17" i="195"/>
  <c r="L31"/>
  <c r="L32"/>
  <c r="K29" i="280"/>
  <c r="K17" i="195"/>
  <c r="K31"/>
  <c r="K32"/>
  <c r="J29" i="280"/>
  <c r="K13"/>
  <c r="K14"/>
  <c r="K15"/>
  <c r="K16"/>
  <c r="K17"/>
  <c r="K18"/>
  <c r="L24" i="196"/>
  <c r="K7" i="280"/>
  <c r="K8"/>
  <c r="K10"/>
  <c r="K22"/>
  <c r="K23"/>
  <c r="K25"/>
  <c r="J13"/>
  <c r="J14"/>
  <c r="J15"/>
  <c r="J16"/>
  <c r="J17"/>
  <c r="J18"/>
  <c r="K24" i="196"/>
  <c r="J7" i="280"/>
  <c r="J8"/>
  <c r="J12" s="1"/>
  <c r="J10"/>
  <c r="J22"/>
  <c r="J23"/>
  <c r="J25"/>
  <c r="H18" i="193"/>
  <c r="G44" i="280"/>
  <c r="H28" i="193"/>
  <c r="H37"/>
  <c r="G46" i="280"/>
  <c r="G18" i="193"/>
  <c r="F44" i="280"/>
  <c r="G28" i="193"/>
  <c r="F45" i="280"/>
  <c r="G37" i="193"/>
  <c r="G39"/>
  <c r="F18"/>
  <c r="F28"/>
  <c r="F37"/>
  <c r="E46" i="280"/>
  <c r="E18" i="193"/>
  <c r="E28"/>
  <c r="E37"/>
  <c r="D46" i="280"/>
  <c r="C46"/>
  <c r="G45"/>
  <c r="E45"/>
  <c r="D45"/>
  <c r="C44"/>
  <c r="H48" i="194"/>
  <c r="G41" i="280"/>
  <c r="G48" i="194"/>
  <c r="F41" i="280"/>
  <c r="F48" i="194"/>
  <c r="E41" i="280"/>
  <c r="E48" i="194"/>
  <c r="D41" i="280"/>
  <c r="H41" s="1"/>
  <c r="I41" s="1"/>
  <c r="D48" i="194"/>
  <c r="C41" i="280"/>
  <c r="H39" i="194"/>
  <c r="G40" i="280"/>
  <c r="G39" i="194"/>
  <c r="F40" i="280"/>
  <c r="F39" i="194"/>
  <c r="E40" i="280"/>
  <c r="E39" i="194"/>
  <c r="D40" i="280"/>
  <c r="D39" i="194"/>
  <c r="C40" i="280"/>
  <c r="H34" i="194"/>
  <c r="G39" i="280"/>
  <c r="G34" i="194"/>
  <c r="F39" i="280"/>
  <c r="F34" i="194"/>
  <c r="E39" i="280"/>
  <c r="E34" i="194"/>
  <c r="D39" i="280"/>
  <c r="H39" s="1"/>
  <c r="I39" s="1"/>
  <c r="D34" i="194"/>
  <c r="C39" i="280"/>
  <c r="H24" i="194"/>
  <c r="G38" i="280"/>
  <c r="G24" i="194"/>
  <c r="F38" i="280"/>
  <c r="F24" i="194"/>
  <c r="E38" i="280"/>
  <c r="E24" i="194"/>
  <c r="D38" i="280"/>
  <c r="D24" i="194"/>
  <c r="C38" i="280"/>
  <c r="H14" i="194"/>
  <c r="G37" i="280"/>
  <c r="G14" i="194"/>
  <c r="F37" i="280"/>
  <c r="F14" i="194"/>
  <c r="E37" i="280"/>
  <c r="E14" i="194"/>
  <c r="D37" i="280"/>
  <c r="H37" s="1"/>
  <c r="I37" s="1"/>
  <c r="D14" i="194"/>
  <c r="C37" i="280"/>
  <c r="H39" i="195"/>
  <c r="G30" i="280"/>
  <c r="G31"/>
  <c r="G32"/>
  <c r="G34" s="1"/>
  <c r="G33"/>
  <c r="G39" i="195"/>
  <c r="F30" i="280"/>
  <c r="F34" s="1"/>
  <c r="F31"/>
  <c r="F32"/>
  <c r="F33"/>
  <c r="F39" i="195"/>
  <c r="E30" i="280"/>
  <c r="E31"/>
  <c r="E32"/>
  <c r="E33"/>
  <c r="E39" i="195"/>
  <c r="D30" i="280"/>
  <c r="D31"/>
  <c r="D32"/>
  <c r="H32" s="1"/>
  <c r="I32" s="1"/>
  <c r="D33"/>
  <c r="D39" i="195"/>
  <c r="C30" i="280"/>
  <c r="C31"/>
  <c r="C32"/>
  <c r="C33"/>
  <c r="H17" i="195"/>
  <c r="H31"/>
  <c r="H32"/>
  <c r="G29" i="280"/>
  <c r="G17" i="195"/>
  <c r="G31"/>
  <c r="G32"/>
  <c r="F29" i="280"/>
  <c r="F17" i="195"/>
  <c r="F31"/>
  <c r="F32"/>
  <c r="E29" i="280"/>
  <c r="E17" i="195"/>
  <c r="E31"/>
  <c r="E32"/>
  <c r="D29" i="280"/>
  <c r="D17" i="195"/>
  <c r="D31"/>
  <c r="D32"/>
  <c r="C29" i="280"/>
  <c r="I29" s="1"/>
  <c r="G13"/>
  <c r="G14"/>
  <c r="G15"/>
  <c r="G16"/>
  <c r="G17"/>
  <c r="G18"/>
  <c r="G19" s="1"/>
  <c r="H39" i="196"/>
  <c r="F24"/>
  <c r="F40"/>
  <c r="F44"/>
  <c r="F46"/>
  <c r="G7" i="280"/>
  <c r="G8"/>
  <c r="G10"/>
  <c r="G22"/>
  <c r="G23"/>
  <c r="G25"/>
  <c r="F13"/>
  <c r="F14"/>
  <c r="F15"/>
  <c r="F16"/>
  <c r="F17"/>
  <c r="F18"/>
  <c r="G39" i="196"/>
  <c r="F7" i="280"/>
  <c r="F12" s="1"/>
  <c r="F8"/>
  <c r="F10"/>
  <c r="F22"/>
  <c r="F23"/>
  <c r="F25"/>
  <c r="E13"/>
  <c r="E14"/>
  <c r="E15"/>
  <c r="E16"/>
  <c r="E17"/>
  <c r="H17" s="1"/>
  <c r="I17" s="1"/>
  <c r="E18"/>
  <c r="F39" i="196"/>
  <c r="E7" i="280"/>
  <c r="E8"/>
  <c r="E10"/>
  <c r="E22"/>
  <c r="E23"/>
  <c r="E25"/>
  <c r="D13"/>
  <c r="D14"/>
  <c r="H14" s="1"/>
  <c r="I14" s="1"/>
  <c r="D15"/>
  <c r="D16"/>
  <c r="H16" s="1"/>
  <c r="I16" s="1"/>
  <c r="D17"/>
  <c r="D18"/>
  <c r="E39" i="196"/>
  <c r="D7" i="280"/>
  <c r="H7" s="1"/>
  <c r="D8"/>
  <c r="D10"/>
  <c r="D22"/>
  <c r="D23"/>
  <c r="D25"/>
  <c r="C13"/>
  <c r="C14"/>
  <c r="C15"/>
  <c r="C16"/>
  <c r="C17"/>
  <c r="C18"/>
  <c r="D39" i="196"/>
  <c r="D40"/>
  <c r="D44"/>
  <c r="D46"/>
  <c r="C7" i="280"/>
  <c r="C8"/>
  <c r="C10"/>
  <c r="C22"/>
  <c r="C23"/>
  <c r="C25"/>
  <c r="C48" i="194"/>
  <c r="B41" i="280"/>
  <c r="B47"/>
  <c r="C37" i="193"/>
  <c r="B46" i="280"/>
  <c r="C28" i="193"/>
  <c r="B45" i="280"/>
  <c r="C18" i="193"/>
  <c r="B44" i="280"/>
  <c r="C39" i="194"/>
  <c r="B40" i="280"/>
  <c r="C34" i="194"/>
  <c r="B39" i="280"/>
  <c r="C24" i="194"/>
  <c r="B38" i="280"/>
  <c r="C14" i="194"/>
  <c r="B37" i="280"/>
  <c r="B31"/>
  <c r="B32"/>
  <c r="B33"/>
  <c r="C39" i="195"/>
  <c r="B30" i="280"/>
  <c r="C17" i="195"/>
  <c r="C31"/>
  <c r="C32"/>
  <c r="B29" i="280"/>
  <c r="B25"/>
  <c r="B23"/>
  <c r="B22"/>
  <c r="C39" i="196"/>
  <c r="C40"/>
  <c r="C44"/>
  <c r="C46"/>
  <c r="B13" i="280"/>
  <c r="B14"/>
  <c r="B15"/>
  <c r="B16"/>
  <c r="B17"/>
  <c r="B18"/>
  <c r="I18" s="1"/>
  <c r="B7"/>
  <c r="B8"/>
  <c r="I8" s="1"/>
  <c r="B10"/>
  <c r="I85" i="339"/>
  <c r="J85"/>
  <c r="I84"/>
  <c r="J84"/>
  <c r="I83"/>
  <c r="J83"/>
  <c r="I82"/>
  <c r="J82"/>
  <c r="E81"/>
  <c r="F81"/>
  <c r="G81"/>
  <c r="H81"/>
  <c r="I81"/>
  <c r="D81"/>
  <c r="C81"/>
  <c r="J81"/>
  <c r="E9"/>
  <c r="E8"/>
  <c r="E79"/>
  <c r="E12"/>
  <c r="E16"/>
  <c r="E20"/>
  <c r="E23"/>
  <c r="E29"/>
  <c r="E45"/>
  <c r="E49"/>
  <c r="E53"/>
  <c r="E67"/>
  <c r="E71"/>
  <c r="E75"/>
  <c r="F9"/>
  <c r="F12"/>
  <c r="F16"/>
  <c r="F20"/>
  <c r="F23"/>
  <c r="F29"/>
  <c r="F45"/>
  <c r="F49"/>
  <c r="F53"/>
  <c r="F67"/>
  <c r="F71"/>
  <c r="F75"/>
  <c r="G9"/>
  <c r="G12"/>
  <c r="G16"/>
  <c r="I16"/>
  <c r="G20"/>
  <c r="G23"/>
  <c r="G29"/>
  <c r="G45"/>
  <c r="G49"/>
  <c r="G53"/>
  <c r="G67"/>
  <c r="G71"/>
  <c r="G75"/>
  <c r="H9"/>
  <c r="H12"/>
  <c r="H16"/>
  <c r="H20"/>
  <c r="H23"/>
  <c r="H29"/>
  <c r="H45"/>
  <c r="H49"/>
  <c r="H53"/>
  <c r="H67"/>
  <c r="H71"/>
  <c r="H75"/>
  <c r="D9"/>
  <c r="D12"/>
  <c r="D16"/>
  <c r="J16"/>
  <c r="D20"/>
  <c r="D23"/>
  <c r="D8"/>
  <c r="D29"/>
  <c r="D45"/>
  <c r="D49"/>
  <c r="D53"/>
  <c r="D67"/>
  <c r="D71"/>
  <c r="D75"/>
  <c r="D79"/>
  <c r="C9"/>
  <c r="C12"/>
  <c r="C16"/>
  <c r="C20"/>
  <c r="C23"/>
  <c r="C8"/>
  <c r="C29"/>
  <c r="C45"/>
  <c r="C49"/>
  <c r="C53"/>
  <c r="C67"/>
  <c r="C71"/>
  <c r="C75"/>
  <c r="C79"/>
  <c r="I78"/>
  <c r="J78"/>
  <c r="I77"/>
  <c r="J77"/>
  <c r="I76"/>
  <c r="J76"/>
  <c r="I75"/>
  <c r="J75"/>
  <c r="I74"/>
  <c r="J74"/>
  <c r="I73"/>
  <c r="J73"/>
  <c r="I72"/>
  <c r="J72"/>
  <c r="I71"/>
  <c r="I70"/>
  <c r="J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J60"/>
  <c r="I59"/>
  <c r="J59"/>
  <c r="I58"/>
  <c r="J58"/>
  <c r="I57"/>
  <c r="J57"/>
  <c r="I56"/>
  <c r="J56"/>
  <c r="I55"/>
  <c r="J55"/>
  <c r="I54"/>
  <c r="J54"/>
  <c r="I53"/>
  <c r="I52"/>
  <c r="J52"/>
  <c r="I51"/>
  <c r="J51"/>
  <c r="I50"/>
  <c r="J50"/>
  <c r="I49"/>
  <c r="J49"/>
  <c r="I48"/>
  <c r="J48"/>
  <c r="I47"/>
  <c r="J47"/>
  <c r="I46"/>
  <c r="J46"/>
  <c r="I45"/>
  <c r="I44"/>
  <c r="J44"/>
  <c r="I43"/>
  <c r="J43"/>
  <c r="I42"/>
  <c r="J42"/>
  <c r="I41"/>
  <c r="J41"/>
  <c r="I40"/>
  <c r="J40"/>
  <c r="I39"/>
  <c r="J39"/>
  <c r="I38"/>
  <c r="J38"/>
  <c r="I37"/>
  <c r="J37"/>
  <c r="I36"/>
  <c r="J36"/>
  <c r="I35"/>
  <c r="J35"/>
  <c r="I34"/>
  <c r="J34"/>
  <c r="I33"/>
  <c r="J33"/>
  <c r="I32"/>
  <c r="J32"/>
  <c r="I31"/>
  <c r="J31"/>
  <c r="I30"/>
  <c r="J30"/>
  <c r="I29"/>
  <c r="J29"/>
  <c r="I28"/>
  <c r="J28"/>
  <c r="I27"/>
  <c r="J27"/>
  <c r="I26"/>
  <c r="J26"/>
  <c r="I25"/>
  <c r="J25"/>
  <c r="I24"/>
  <c r="J24"/>
  <c r="I23"/>
  <c r="J23"/>
  <c r="I22"/>
  <c r="J22"/>
  <c r="I21"/>
  <c r="J21"/>
  <c r="I20"/>
  <c r="I19"/>
  <c r="J19"/>
  <c r="I18"/>
  <c r="J18"/>
  <c r="I17"/>
  <c r="J17"/>
  <c r="I15"/>
  <c r="J15"/>
  <c r="I14"/>
  <c r="J14"/>
  <c r="I13"/>
  <c r="J13"/>
  <c r="I12"/>
  <c r="I11"/>
  <c r="J11"/>
  <c r="I10"/>
  <c r="J10"/>
  <c r="I9"/>
  <c r="J9"/>
  <c r="I85" i="338"/>
  <c r="J85"/>
  <c r="I84"/>
  <c r="J84"/>
  <c r="I83"/>
  <c r="J83"/>
  <c r="I82"/>
  <c r="J82"/>
  <c r="E81"/>
  <c r="F81"/>
  <c r="G81"/>
  <c r="H81"/>
  <c r="D81"/>
  <c r="C81"/>
  <c r="E9"/>
  <c r="E12"/>
  <c r="E16"/>
  <c r="E20"/>
  <c r="E23"/>
  <c r="E29"/>
  <c r="E45"/>
  <c r="E49"/>
  <c r="E53"/>
  <c r="E67"/>
  <c r="E71"/>
  <c r="E75"/>
  <c r="F9"/>
  <c r="F12"/>
  <c r="F16"/>
  <c r="F20"/>
  <c r="F23"/>
  <c r="F29"/>
  <c r="I29"/>
  <c r="F45"/>
  <c r="F49"/>
  <c r="I49"/>
  <c r="F53"/>
  <c r="F67"/>
  <c r="I67"/>
  <c r="F71"/>
  <c r="F75"/>
  <c r="I75"/>
  <c r="G9"/>
  <c r="G12"/>
  <c r="G16"/>
  <c r="G20"/>
  <c r="G23"/>
  <c r="G29"/>
  <c r="G45"/>
  <c r="G49"/>
  <c r="G53"/>
  <c r="G67"/>
  <c r="G71"/>
  <c r="G75"/>
  <c r="H9"/>
  <c r="H12"/>
  <c r="H16"/>
  <c r="H20"/>
  <c r="H23"/>
  <c r="H29"/>
  <c r="H45"/>
  <c r="H49"/>
  <c r="H53"/>
  <c r="H67"/>
  <c r="H71"/>
  <c r="H75"/>
  <c r="D9"/>
  <c r="D8"/>
  <c r="D79"/>
  <c r="D12"/>
  <c r="D16"/>
  <c r="D20"/>
  <c r="D23"/>
  <c r="D29"/>
  <c r="J29"/>
  <c r="D45"/>
  <c r="D49"/>
  <c r="J49"/>
  <c r="D53"/>
  <c r="D67"/>
  <c r="J67"/>
  <c r="D71"/>
  <c r="D75"/>
  <c r="J75"/>
  <c r="C9"/>
  <c r="C8"/>
  <c r="C79"/>
  <c r="C12"/>
  <c r="C16"/>
  <c r="C20"/>
  <c r="C23"/>
  <c r="C29"/>
  <c r="C45"/>
  <c r="C49"/>
  <c r="C53"/>
  <c r="C67"/>
  <c r="C71"/>
  <c r="C75"/>
  <c r="I78"/>
  <c r="J78"/>
  <c r="I77"/>
  <c r="J77"/>
  <c r="I76"/>
  <c r="J76"/>
  <c r="I74"/>
  <c r="J74"/>
  <c r="I73"/>
  <c r="J73"/>
  <c r="I72"/>
  <c r="J72"/>
  <c r="I71"/>
  <c r="I70"/>
  <c r="J70"/>
  <c r="I69"/>
  <c r="J69"/>
  <c r="I68"/>
  <c r="J68"/>
  <c r="I66"/>
  <c r="J66"/>
  <c r="I65"/>
  <c r="J65"/>
  <c r="I64"/>
  <c r="J64"/>
  <c r="I63"/>
  <c r="J63"/>
  <c r="I62"/>
  <c r="J62"/>
  <c r="I61"/>
  <c r="J61"/>
  <c r="I60"/>
  <c r="J60"/>
  <c r="I59"/>
  <c r="J59"/>
  <c r="I58"/>
  <c r="J58"/>
  <c r="I57"/>
  <c r="J57"/>
  <c r="I56"/>
  <c r="J56"/>
  <c r="I55"/>
  <c r="J55"/>
  <c r="I54"/>
  <c r="J54"/>
  <c r="I53"/>
  <c r="J53"/>
  <c r="I52"/>
  <c r="J52"/>
  <c r="I51"/>
  <c r="J51"/>
  <c r="I50"/>
  <c r="J50"/>
  <c r="I48"/>
  <c r="J48"/>
  <c r="I47"/>
  <c r="J47"/>
  <c r="I46"/>
  <c r="J46"/>
  <c r="I45"/>
  <c r="J45"/>
  <c r="I44"/>
  <c r="J44"/>
  <c r="I43"/>
  <c r="J43"/>
  <c r="I42"/>
  <c r="J42"/>
  <c r="I41"/>
  <c r="J41"/>
  <c r="I40"/>
  <c r="J40"/>
  <c r="I39"/>
  <c r="J39"/>
  <c r="I38"/>
  <c r="J38"/>
  <c r="I37"/>
  <c r="J37"/>
  <c r="I36"/>
  <c r="J36"/>
  <c r="I35"/>
  <c r="J35"/>
  <c r="I34"/>
  <c r="J34"/>
  <c r="I33"/>
  <c r="J33"/>
  <c r="I32"/>
  <c r="J32"/>
  <c r="I31"/>
  <c r="J31"/>
  <c r="I30"/>
  <c r="J30"/>
  <c r="I28"/>
  <c r="J28"/>
  <c r="I27"/>
  <c r="J27"/>
  <c r="I26"/>
  <c r="J26"/>
  <c r="I25"/>
  <c r="J25"/>
  <c r="I24"/>
  <c r="J24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5" i="337"/>
  <c r="J85"/>
  <c r="I84"/>
  <c r="J84"/>
  <c r="I83"/>
  <c r="J83"/>
  <c r="I82"/>
  <c r="J82"/>
  <c r="E81"/>
  <c r="F81"/>
  <c r="I81"/>
  <c r="G81"/>
  <c r="H81"/>
  <c r="D81"/>
  <c r="C81"/>
  <c r="J81"/>
  <c r="E9"/>
  <c r="E12"/>
  <c r="I12"/>
  <c r="E16"/>
  <c r="E20"/>
  <c r="I20"/>
  <c r="E23"/>
  <c r="E8"/>
  <c r="E29"/>
  <c r="E45"/>
  <c r="I45"/>
  <c r="E49"/>
  <c r="E53"/>
  <c r="I53"/>
  <c r="E67"/>
  <c r="E71"/>
  <c r="I71"/>
  <c r="E75"/>
  <c r="E79"/>
  <c r="F9"/>
  <c r="F12"/>
  <c r="F16"/>
  <c r="F20"/>
  <c r="F23"/>
  <c r="F8"/>
  <c r="F29"/>
  <c r="F45"/>
  <c r="F49"/>
  <c r="F53"/>
  <c r="F67"/>
  <c r="F71"/>
  <c r="F75"/>
  <c r="F79"/>
  <c r="G9"/>
  <c r="G12"/>
  <c r="G16"/>
  <c r="G20"/>
  <c r="G23"/>
  <c r="G8"/>
  <c r="G29"/>
  <c r="G45"/>
  <c r="G49"/>
  <c r="G53"/>
  <c r="G67"/>
  <c r="G71"/>
  <c r="G75"/>
  <c r="G79"/>
  <c r="H9"/>
  <c r="H12"/>
  <c r="H16"/>
  <c r="H20"/>
  <c r="H23"/>
  <c r="H8"/>
  <c r="H29"/>
  <c r="H45"/>
  <c r="H49"/>
  <c r="H53"/>
  <c r="H67"/>
  <c r="H71"/>
  <c r="H75"/>
  <c r="D9"/>
  <c r="D8"/>
  <c r="D12"/>
  <c r="J12"/>
  <c r="D16"/>
  <c r="D20"/>
  <c r="J20"/>
  <c r="D23"/>
  <c r="D29"/>
  <c r="D45"/>
  <c r="J45"/>
  <c r="D49"/>
  <c r="D53"/>
  <c r="J53"/>
  <c r="D67"/>
  <c r="D71"/>
  <c r="J71"/>
  <c r="D75"/>
  <c r="C9"/>
  <c r="C12"/>
  <c r="C8"/>
  <c r="C79"/>
  <c r="C16"/>
  <c r="C20"/>
  <c r="C23"/>
  <c r="C29"/>
  <c r="C45"/>
  <c r="C49"/>
  <c r="C53"/>
  <c r="C67"/>
  <c r="C71"/>
  <c r="C75"/>
  <c r="I78"/>
  <c r="J78"/>
  <c r="I77"/>
  <c r="J77"/>
  <c r="I76"/>
  <c r="J76"/>
  <c r="I75"/>
  <c r="J75"/>
  <c r="I74"/>
  <c r="J74"/>
  <c r="I73"/>
  <c r="J73"/>
  <c r="I72"/>
  <c r="J72"/>
  <c r="I70"/>
  <c r="J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J60"/>
  <c r="I59"/>
  <c r="J59"/>
  <c r="I58"/>
  <c r="J58"/>
  <c r="I57"/>
  <c r="J57"/>
  <c r="I56"/>
  <c r="J56"/>
  <c r="I55"/>
  <c r="J55"/>
  <c r="I54"/>
  <c r="J54"/>
  <c r="I52"/>
  <c r="J52"/>
  <c r="I51"/>
  <c r="J51"/>
  <c r="I50"/>
  <c r="J50"/>
  <c r="I49"/>
  <c r="J49"/>
  <c r="I48"/>
  <c r="J48"/>
  <c r="I47"/>
  <c r="J47"/>
  <c r="I46"/>
  <c r="J46"/>
  <c r="I44"/>
  <c r="J44"/>
  <c r="I43"/>
  <c r="J43"/>
  <c r="I42"/>
  <c r="J42"/>
  <c r="I41"/>
  <c r="J41"/>
  <c r="I40"/>
  <c r="J40"/>
  <c r="I39"/>
  <c r="J39"/>
  <c r="I38"/>
  <c r="J38"/>
  <c r="I37"/>
  <c r="J37"/>
  <c r="I36"/>
  <c r="J36"/>
  <c r="I35"/>
  <c r="J35"/>
  <c r="I34"/>
  <c r="J34"/>
  <c r="I33"/>
  <c r="J33"/>
  <c r="I32"/>
  <c r="J32"/>
  <c r="I31"/>
  <c r="J31"/>
  <c r="I30"/>
  <c r="J30"/>
  <c r="I29"/>
  <c r="J29"/>
  <c r="I28"/>
  <c r="J28"/>
  <c r="I27"/>
  <c r="J27"/>
  <c r="I26"/>
  <c r="J26"/>
  <c r="I25"/>
  <c r="J25"/>
  <c r="I24"/>
  <c r="J24"/>
  <c r="I23"/>
  <c r="J23"/>
  <c r="I22"/>
  <c r="J22"/>
  <c r="I21"/>
  <c r="J21"/>
  <c r="I19"/>
  <c r="J19"/>
  <c r="I18"/>
  <c r="J18"/>
  <c r="I17"/>
  <c r="J17"/>
  <c r="I16"/>
  <c r="J16"/>
  <c r="I15"/>
  <c r="J15"/>
  <c r="I14"/>
  <c r="J14"/>
  <c r="I13"/>
  <c r="J13"/>
  <c r="I11"/>
  <c r="J11"/>
  <c r="I10"/>
  <c r="J10"/>
  <c r="I9"/>
  <c r="J9"/>
  <c r="L9" i="338"/>
  <c r="L12"/>
  <c r="L16"/>
  <c r="L20"/>
  <c r="L23"/>
  <c r="L8"/>
  <c r="L29"/>
  <c r="L45"/>
  <c r="L49"/>
  <c r="L53"/>
  <c r="L67"/>
  <c r="L71"/>
  <c r="L75"/>
  <c r="L79"/>
  <c r="L81"/>
  <c r="L9" i="337"/>
  <c r="L8"/>
  <c r="L79"/>
  <c r="L12"/>
  <c r="L16"/>
  <c r="L20"/>
  <c r="L23"/>
  <c r="L29"/>
  <c r="L45"/>
  <c r="L49"/>
  <c r="L53"/>
  <c r="L67"/>
  <c r="L71"/>
  <c r="L75"/>
  <c r="L81"/>
  <c r="L9" i="339"/>
  <c r="L12"/>
  <c r="L16"/>
  <c r="L20"/>
  <c r="L23"/>
  <c r="L8"/>
  <c r="L29"/>
  <c r="L45"/>
  <c r="L49"/>
  <c r="L53"/>
  <c r="L67"/>
  <c r="L71"/>
  <c r="L75"/>
  <c r="L79"/>
  <c r="L81"/>
  <c r="L3" i="338"/>
  <c r="K3"/>
  <c r="J3"/>
  <c r="I3"/>
  <c r="H3"/>
  <c r="G3"/>
  <c r="F3"/>
  <c r="E3"/>
  <c r="D3"/>
  <c r="C3"/>
  <c r="E2" i="336"/>
  <c r="E10"/>
  <c r="L3" i="337"/>
  <c r="K3"/>
  <c r="J3"/>
  <c r="I3"/>
  <c r="H3"/>
  <c r="G3"/>
  <c r="F3"/>
  <c r="E3"/>
  <c r="D3"/>
  <c r="C3"/>
  <c r="L3" i="339"/>
  <c r="K3"/>
  <c r="J3"/>
  <c r="I3"/>
  <c r="H3"/>
  <c r="G3"/>
  <c r="F3"/>
  <c r="E3"/>
  <c r="D3"/>
  <c r="C3"/>
  <c r="B90" i="100"/>
  <c r="A1" i="339"/>
  <c r="B91" i="100"/>
  <c r="A1" i="338"/>
  <c r="B92" i="100"/>
  <c r="A1" i="337"/>
  <c r="I7" i="195"/>
  <c r="I8"/>
  <c r="J8"/>
  <c r="I9"/>
  <c r="I10"/>
  <c r="J10"/>
  <c r="I11"/>
  <c r="I12"/>
  <c r="J12"/>
  <c r="I13"/>
  <c r="I14"/>
  <c r="J14"/>
  <c r="I15"/>
  <c r="I16"/>
  <c r="J16"/>
  <c r="I17"/>
  <c r="I20"/>
  <c r="J20"/>
  <c r="I21"/>
  <c r="I22"/>
  <c r="J22"/>
  <c r="I23"/>
  <c r="I24"/>
  <c r="J24"/>
  <c r="I25"/>
  <c r="I26"/>
  <c r="J26"/>
  <c r="I27"/>
  <c r="I28"/>
  <c r="J28"/>
  <c r="I29"/>
  <c r="I30"/>
  <c r="J30"/>
  <c r="I31"/>
  <c r="J7"/>
  <c r="J9"/>
  <c r="J11"/>
  <c r="J13"/>
  <c r="J15"/>
  <c r="J17"/>
  <c r="J21"/>
  <c r="J23"/>
  <c r="J25"/>
  <c r="J27"/>
  <c r="J29"/>
  <c r="J31"/>
  <c r="K9" i="337"/>
  <c r="K12"/>
  <c r="K16"/>
  <c r="K20"/>
  <c r="K23"/>
  <c r="K29"/>
  <c r="K45"/>
  <c r="K49"/>
  <c r="K53"/>
  <c r="K67"/>
  <c r="K71"/>
  <c r="K75"/>
  <c r="K9" i="338"/>
  <c r="K12"/>
  <c r="K16"/>
  <c r="K20"/>
  <c r="K23"/>
  <c r="K29"/>
  <c r="K45"/>
  <c r="K49"/>
  <c r="K53"/>
  <c r="K67"/>
  <c r="K71"/>
  <c r="K75"/>
  <c r="K9" i="339"/>
  <c r="K12"/>
  <c r="K16"/>
  <c r="K20"/>
  <c r="K23"/>
  <c r="K29"/>
  <c r="K45"/>
  <c r="K49"/>
  <c r="K53"/>
  <c r="K67"/>
  <c r="K71"/>
  <c r="K75"/>
  <c r="B84" i="100"/>
  <c r="A1" i="193"/>
  <c r="B83" i="100"/>
  <c r="B82"/>
  <c r="A1" i="195"/>
  <c r="B81" i="100"/>
  <c r="B80"/>
  <c r="A1" i="280"/>
  <c r="A1" i="194"/>
  <c r="A1" i="196"/>
  <c r="G23" i="336"/>
  <c r="H23"/>
  <c r="I23"/>
  <c r="J23"/>
  <c r="K23"/>
  <c r="L23"/>
  <c r="M23"/>
  <c r="N23"/>
  <c r="O23"/>
  <c r="F23"/>
  <c r="F7"/>
  <c r="G7"/>
  <c r="H7"/>
  <c r="I7"/>
  <c r="J7"/>
  <c r="K7"/>
  <c r="L7"/>
  <c r="M7"/>
  <c r="N7"/>
  <c r="O7"/>
  <c r="E7"/>
  <c r="F2"/>
  <c r="F8"/>
  <c r="G2"/>
  <c r="G8"/>
  <c r="H2"/>
  <c r="H8"/>
  <c r="I2"/>
  <c r="I8"/>
  <c r="J2"/>
  <c r="J8"/>
  <c r="K2"/>
  <c r="K8"/>
  <c r="L2"/>
  <c r="L8"/>
  <c r="M2"/>
  <c r="M8"/>
  <c r="N2"/>
  <c r="N8"/>
  <c r="O2"/>
  <c r="O8"/>
  <c r="F9"/>
  <c r="H9"/>
  <c r="J9"/>
  <c r="L9"/>
  <c r="N9"/>
  <c r="F10"/>
  <c r="H10"/>
  <c r="J10"/>
  <c r="L10"/>
  <c r="N10"/>
  <c r="O4"/>
  <c r="N4"/>
  <c r="M4"/>
  <c r="L4"/>
  <c r="K4"/>
  <c r="J4"/>
  <c r="I4"/>
  <c r="H4"/>
  <c r="G4"/>
  <c r="F4"/>
  <c r="E4"/>
  <c r="O3"/>
  <c r="N3"/>
  <c r="M3"/>
  <c r="L3"/>
  <c r="K3"/>
  <c r="J3"/>
  <c r="I3"/>
  <c r="H3"/>
  <c r="G3"/>
  <c r="F3"/>
  <c r="E3"/>
  <c r="B12" i="280"/>
  <c r="H15"/>
  <c r="H13"/>
  <c r="H8"/>
  <c r="H10"/>
  <c r="H18"/>
  <c r="G3"/>
  <c r="F3"/>
  <c r="B3"/>
  <c r="C3"/>
  <c r="D3"/>
  <c r="E3"/>
  <c r="H3"/>
  <c r="I3"/>
  <c r="H45"/>
  <c r="I45" s="1"/>
  <c r="H40"/>
  <c r="I40" s="1"/>
  <c r="H38"/>
  <c r="I38" s="1"/>
  <c r="H33"/>
  <c r="I33" s="1"/>
  <c r="H31"/>
  <c r="I31" s="1"/>
  <c r="H29"/>
  <c r="K3"/>
  <c r="J3"/>
  <c r="A2"/>
  <c r="H3" i="196"/>
  <c r="G3"/>
  <c r="C3"/>
  <c r="D3"/>
  <c r="E3"/>
  <c r="F3"/>
  <c r="I3"/>
  <c r="J3"/>
  <c r="K3"/>
  <c r="L3"/>
  <c r="I43"/>
  <c r="J43"/>
  <c r="I42"/>
  <c r="J42"/>
  <c r="I41"/>
  <c r="J41"/>
  <c r="I27"/>
  <c r="I28"/>
  <c r="I29"/>
  <c r="I30"/>
  <c r="I31"/>
  <c r="I32"/>
  <c r="I33"/>
  <c r="I34"/>
  <c r="I35"/>
  <c r="I36"/>
  <c r="I37"/>
  <c r="I38"/>
  <c r="I39"/>
  <c r="J38"/>
  <c r="J37"/>
  <c r="J36"/>
  <c r="J35"/>
  <c r="J34"/>
  <c r="J33"/>
  <c r="J32"/>
  <c r="J31"/>
  <c r="J30"/>
  <c r="J29"/>
  <c r="J28"/>
  <c r="J27"/>
  <c r="J39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24"/>
  <c r="I40"/>
  <c r="I44"/>
  <c r="I46"/>
  <c r="B2"/>
  <c r="A2"/>
  <c r="H3" i="195"/>
  <c r="G43"/>
  <c r="G3"/>
  <c r="K43"/>
  <c r="I35"/>
  <c r="J35"/>
  <c r="I36"/>
  <c r="J36"/>
  <c r="I37"/>
  <c r="J37"/>
  <c r="I38"/>
  <c r="J38"/>
  <c r="I40"/>
  <c r="J40"/>
  <c r="I41"/>
  <c r="J41"/>
  <c r="I42"/>
  <c r="J42"/>
  <c r="L3"/>
  <c r="K3"/>
  <c r="J3"/>
  <c r="I3"/>
  <c r="F3"/>
  <c r="E3"/>
  <c r="D3"/>
  <c r="C3"/>
  <c r="C43"/>
  <c r="A2"/>
  <c r="B2"/>
  <c r="D43"/>
  <c r="E43"/>
  <c r="F43"/>
  <c r="H43"/>
  <c r="L43"/>
  <c r="I8" i="194"/>
  <c r="J8"/>
  <c r="I9"/>
  <c r="J9"/>
  <c r="I29"/>
  <c r="J29"/>
  <c r="H25"/>
  <c r="H40"/>
  <c r="H42"/>
  <c r="H57"/>
  <c r="G25"/>
  <c r="G40"/>
  <c r="G42"/>
  <c r="G57"/>
  <c r="I46"/>
  <c r="J46"/>
  <c r="I45"/>
  <c r="J45"/>
  <c r="J48"/>
  <c r="I38"/>
  <c r="J38"/>
  <c r="I37"/>
  <c r="J37"/>
  <c r="E10" i="191"/>
  <c r="I33" i="194"/>
  <c r="J33"/>
  <c r="I32"/>
  <c r="J32"/>
  <c r="I31"/>
  <c r="J31"/>
  <c r="I30"/>
  <c r="J30"/>
  <c r="I23"/>
  <c r="J23"/>
  <c r="I22"/>
  <c r="J22"/>
  <c r="I21"/>
  <c r="J21"/>
  <c r="I20"/>
  <c r="J20"/>
  <c r="I19"/>
  <c r="J19"/>
  <c r="I18"/>
  <c r="J18"/>
  <c r="I17"/>
  <c r="J17"/>
  <c r="I13"/>
  <c r="J13"/>
  <c r="I12"/>
  <c r="J12"/>
  <c r="I11"/>
  <c r="J11"/>
  <c r="I10"/>
  <c r="J10"/>
  <c r="E31" i="191"/>
  <c r="H3" i="194"/>
  <c r="G3"/>
  <c r="L25"/>
  <c r="L40"/>
  <c r="L42"/>
  <c r="L57"/>
  <c r="K25"/>
  <c r="F5" i="191"/>
  <c r="K40" i="194"/>
  <c r="K42"/>
  <c r="K57"/>
  <c r="L3"/>
  <c r="K3"/>
  <c r="J3"/>
  <c r="I3"/>
  <c r="F3"/>
  <c r="E3"/>
  <c r="D3"/>
  <c r="C3"/>
  <c r="A2"/>
  <c r="B2"/>
  <c r="C25"/>
  <c r="D25"/>
  <c r="D42"/>
  <c r="D57"/>
  <c r="E25"/>
  <c r="F25"/>
  <c r="F42"/>
  <c r="F57"/>
  <c r="I39"/>
  <c r="C40"/>
  <c r="D40"/>
  <c r="E40"/>
  <c r="F40"/>
  <c r="C42"/>
  <c r="E42"/>
  <c r="I48"/>
  <c r="C57"/>
  <c r="E57"/>
  <c r="I8" i="193"/>
  <c r="J8"/>
  <c r="I9"/>
  <c r="J9"/>
  <c r="I10"/>
  <c r="J10"/>
  <c r="I11"/>
  <c r="J11"/>
  <c r="I12"/>
  <c r="J12"/>
  <c r="I15"/>
  <c r="J15"/>
  <c r="I16"/>
  <c r="J16"/>
  <c r="I17"/>
  <c r="J17"/>
  <c r="I22"/>
  <c r="J22"/>
  <c r="J28"/>
  <c r="I23"/>
  <c r="J23"/>
  <c r="I24"/>
  <c r="J24"/>
  <c r="I25"/>
  <c r="J25"/>
  <c r="I27"/>
  <c r="J27"/>
  <c r="I32"/>
  <c r="J32"/>
  <c r="I33"/>
  <c r="J33"/>
  <c r="I34"/>
  <c r="J34"/>
  <c r="I36"/>
  <c r="J36"/>
  <c r="L51"/>
  <c r="K51"/>
  <c r="D51"/>
  <c r="C51"/>
  <c r="H3"/>
  <c r="G3"/>
  <c r="I28"/>
  <c r="A2"/>
  <c r="L3"/>
  <c r="K3"/>
  <c r="J3"/>
  <c r="I3"/>
  <c r="F3"/>
  <c r="E3"/>
  <c r="D3"/>
  <c r="C3"/>
  <c r="B2"/>
  <c r="C39"/>
  <c r="C40"/>
  <c r="I24" i="192"/>
  <c r="J24"/>
  <c r="I23"/>
  <c r="J23"/>
  <c r="I22"/>
  <c r="J22"/>
  <c r="I21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H3"/>
  <c r="G3"/>
  <c r="L3"/>
  <c r="K3"/>
  <c r="J3"/>
  <c r="I3"/>
  <c r="F3"/>
  <c r="E3"/>
  <c r="D3"/>
  <c r="C3"/>
  <c r="G31" i="191"/>
  <c r="G30"/>
  <c r="G28"/>
  <c r="G27"/>
  <c r="G26"/>
  <c r="F31"/>
  <c r="F30"/>
  <c r="F28"/>
  <c r="F27"/>
  <c r="F26"/>
  <c r="D32"/>
  <c r="D31"/>
  <c r="D30"/>
  <c r="D28"/>
  <c r="D27"/>
  <c r="D26"/>
  <c r="G14"/>
  <c r="G13"/>
  <c r="G12"/>
  <c r="G10"/>
  <c r="G7"/>
  <c r="G5"/>
  <c r="F14"/>
  <c r="F13"/>
  <c r="F12"/>
  <c r="F10"/>
  <c r="F9"/>
  <c r="F7"/>
  <c r="E6"/>
  <c r="G18"/>
  <c r="G17"/>
  <c r="F18"/>
  <c r="F17"/>
  <c r="D18"/>
  <c r="D17"/>
  <c r="G39"/>
  <c r="G16" s="1"/>
  <c r="F39"/>
  <c r="F16" s="1"/>
  <c r="E16"/>
  <c r="D16"/>
  <c r="D14"/>
  <c r="D13"/>
  <c r="D12"/>
  <c r="D10"/>
  <c r="D9"/>
  <c r="D7"/>
  <c r="D6"/>
  <c r="D5"/>
  <c r="G3"/>
  <c r="F3"/>
  <c r="E3"/>
  <c r="D3"/>
  <c r="C2"/>
  <c r="I24" i="286"/>
  <c r="B2"/>
  <c r="F24"/>
  <c r="H24"/>
  <c r="J24"/>
  <c r="A25"/>
  <c r="I25" i="287"/>
  <c r="J25"/>
  <c r="I38"/>
  <c r="J38"/>
  <c r="I12"/>
  <c r="J12"/>
  <c r="I13"/>
  <c r="J13"/>
  <c r="I14"/>
  <c r="J14"/>
  <c r="I43"/>
  <c r="J43"/>
  <c r="I42"/>
  <c r="J42"/>
  <c r="I41"/>
  <c r="J41"/>
  <c r="I40"/>
  <c r="J40"/>
  <c r="I39"/>
  <c r="J39"/>
  <c r="I37"/>
  <c r="J37"/>
  <c r="I36"/>
  <c r="J36"/>
  <c r="I35"/>
  <c r="J35"/>
  <c r="I34"/>
  <c r="J34"/>
  <c r="J44"/>
  <c r="I29"/>
  <c r="J29"/>
  <c r="I28"/>
  <c r="J28"/>
  <c r="I27"/>
  <c r="J27"/>
  <c r="I26"/>
  <c r="J26"/>
  <c r="I24"/>
  <c r="J24"/>
  <c r="I23"/>
  <c r="J23"/>
  <c r="I22"/>
  <c r="J22"/>
  <c r="I21"/>
  <c r="J21"/>
  <c r="J30"/>
  <c r="I16"/>
  <c r="J16"/>
  <c r="I15"/>
  <c r="J15"/>
  <c r="I11"/>
  <c r="J11"/>
  <c r="I10"/>
  <c r="J10"/>
  <c r="I9"/>
  <c r="J9"/>
  <c r="I8"/>
  <c r="J8"/>
  <c r="J17"/>
  <c r="H3"/>
  <c r="G17"/>
  <c r="G30"/>
  <c r="G44"/>
  <c r="G3"/>
  <c r="L17"/>
  <c r="L30"/>
  <c r="L44"/>
  <c r="K17"/>
  <c r="K30"/>
  <c r="K44"/>
  <c r="K45"/>
  <c r="I44"/>
  <c r="H17"/>
  <c r="H30"/>
  <c r="H44"/>
  <c r="L3"/>
  <c r="K3"/>
  <c r="J3"/>
  <c r="I3"/>
  <c r="F3"/>
  <c r="E3"/>
  <c r="D3"/>
  <c r="C3"/>
  <c r="B2"/>
  <c r="C17"/>
  <c r="J18"/>
  <c r="D17"/>
  <c r="E17"/>
  <c r="F17"/>
  <c r="C30"/>
  <c r="J31"/>
  <c r="D30"/>
  <c r="E30"/>
  <c r="F30"/>
  <c r="C44"/>
  <c r="J45"/>
  <c r="D44"/>
  <c r="E44"/>
  <c r="F44"/>
  <c r="E47"/>
  <c r="A49"/>
  <c r="N38" i="278"/>
  <c r="N43"/>
  <c r="O38"/>
  <c r="O43"/>
  <c r="P4"/>
  <c r="O4"/>
  <c r="N4"/>
  <c r="M4"/>
  <c r="L4"/>
  <c r="K4"/>
  <c r="J4"/>
  <c r="I4"/>
  <c r="G4"/>
  <c r="F4"/>
  <c r="E4"/>
  <c r="D4"/>
  <c r="C4"/>
  <c r="B4"/>
  <c r="A2"/>
  <c r="B10"/>
  <c r="C10"/>
  <c r="D10"/>
  <c r="E10"/>
  <c r="F10"/>
  <c r="G10"/>
  <c r="H10"/>
  <c r="I10"/>
  <c r="J10"/>
  <c r="K10"/>
  <c r="L10"/>
  <c r="M10"/>
  <c r="N10"/>
  <c r="O10"/>
  <c r="P10"/>
  <c r="B25"/>
  <c r="C25"/>
  <c r="D25"/>
  <c r="E25"/>
  <c r="F25"/>
  <c r="G25"/>
  <c r="H25"/>
  <c r="I25"/>
  <c r="J25"/>
  <c r="K25"/>
  <c r="L25"/>
  <c r="M25"/>
  <c r="N25"/>
  <c r="O25"/>
  <c r="B29"/>
  <c r="C29"/>
  <c r="D29"/>
  <c r="E29"/>
  <c r="F29"/>
  <c r="G29"/>
  <c r="H29"/>
  <c r="I29"/>
  <c r="J29"/>
  <c r="K29"/>
  <c r="L29"/>
  <c r="M29"/>
  <c r="N29"/>
  <c r="O29"/>
  <c r="P29"/>
  <c r="B38"/>
  <c r="C38"/>
  <c r="D38"/>
  <c r="D48"/>
  <c r="E38"/>
  <c r="F38"/>
  <c r="F48"/>
  <c r="G38"/>
  <c r="H38"/>
  <c r="H48"/>
  <c r="I38"/>
  <c r="J38"/>
  <c r="J48"/>
  <c r="K38"/>
  <c r="L38"/>
  <c r="M38"/>
  <c r="P38"/>
  <c r="B43"/>
  <c r="C43"/>
  <c r="D43"/>
  <c r="E43"/>
  <c r="F43"/>
  <c r="G43"/>
  <c r="H43"/>
  <c r="I43"/>
  <c r="J43"/>
  <c r="K43"/>
  <c r="L43"/>
  <c r="L48"/>
  <c r="M43"/>
  <c r="P43"/>
  <c r="B47"/>
  <c r="C47"/>
  <c r="D47"/>
  <c r="E47"/>
  <c r="E48"/>
  <c r="F47"/>
  <c r="G47"/>
  <c r="G48"/>
  <c r="H47"/>
  <c r="I47"/>
  <c r="J47"/>
  <c r="K47"/>
  <c r="K48"/>
  <c r="L47"/>
  <c r="B48"/>
  <c r="A87" i="339"/>
  <c r="K81"/>
  <c r="B2"/>
  <c r="A2"/>
  <c r="A87" i="338"/>
  <c r="K81"/>
  <c r="B2"/>
  <c r="A2"/>
  <c r="A87" i="337"/>
  <c r="K81"/>
  <c r="B2"/>
  <c r="A2"/>
  <c r="J3" i="333"/>
  <c r="B2"/>
  <c r="C23"/>
  <c r="M23"/>
  <c r="N23"/>
  <c r="A24"/>
  <c r="A1" i="192"/>
  <c r="A1" i="191"/>
  <c r="A1" i="286"/>
  <c r="A1" i="287"/>
  <c r="A1" i="278"/>
  <c r="A1" i="333"/>
  <c r="J18" i="193"/>
  <c r="J51"/>
  <c r="D79" i="337"/>
  <c r="I30" i="287"/>
  <c r="I34" i="194"/>
  <c r="I40"/>
  <c r="I14"/>
  <c r="K8" i="339"/>
  <c r="K79"/>
  <c r="K90"/>
  <c r="K8" i="338"/>
  <c r="K79"/>
  <c r="K8" i="337"/>
  <c r="K79"/>
  <c r="E8" i="336"/>
  <c r="D90" i="339"/>
  <c r="J71"/>
  <c r="J53"/>
  <c r="J45"/>
  <c r="J20"/>
  <c r="J12"/>
  <c r="H8"/>
  <c r="H79"/>
  <c r="G8"/>
  <c r="G79"/>
  <c r="F8"/>
  <c r="F79"/>
  <c r="C90" i="338"/>
  <c r="D90"/>
  <c r="J71"/>
  <c r="H8"/>
  <c r="H79"/>
  <c r="H90"/>
  <c r="G8"/>
  <c r="G79"/>
  <c r="F8"/>
  <c r="F79"/>
  <c r="F90"/>
  <c r="E8"/>
  <c r="E79"/>
  <c r="G12" i="280"/>
  <c r="E39" i="193"/>
  <c r="F39"/>
  <c r="E44" i="280"/>
  <c r="K12"/>
  <c r="K44"/>
  <c r="D44"/>
  <c r="H44" s="1"/>
  <c r="I44" s="1"/>
  <c r="I8" i="338"/>
  <c r="J8"/>
  <c r="I8" i="337"/>
  <c r="J8"/>
  <c r="H79"/>
  <c r="I79"/>
  <c r="J79"/>
  <c r="F90" i="339"/>
  <c r="J44" i="280"/>
  <c r="M48" i="278"/>
  <c r="N47"/>
  <c r="N48"/>
  <c r="O47"/>
  <c r="O48"/>
  <c r="P47"/>
  <c r="P48"/>
  <c r="F46" i="280"/>
  <c r="H46" s="1"/>
  <c r="I46" s="1"/>
  <c r="H39" i="193"/>
  <c r="J37"/>
  <c r="J39"/>
  <c r="I37"/>
  <c r="I17" i="287"/>
  <c r="I47"/>
  <c r="C47"/>
  <c r="E90" i="339"/>
  <c r="I79" i="338"/>
  <c r="E90"/>
  <c r="H90" i="339"/>
  <c r="K90" i="338"/>
  <c r="I79" i="339"/>
  <c r="G90"/>
  <c r="G90" i="338"/>
  <c r="C48" i="278"/>
  <c r="G47" i="287"/>
  <c r="J47"/>
  <c r="J34" i="194"/>
  <c r="J14"/>
  <c r="I8" i="339"/>
  <c r="J8"/>
  <c r="I48" i="278"/>
  <c r="F47" i="287"/>
  <c r="D47"/>
  <c r="H47"/>
  <c r="K47"/>
  <c r="L45"/>
  <c r="L47"/>
  <c r="E18" i="191"/>
  <c r="J24" i="194"/>
  <c r="J39" i="195"/>
  <c r="J43"/>
  <c r="J32"/>
  <c r="E7" i="191"/>
  <c r="C90" i="339"/>
  <c r="K31" i="287"/>
  <c r="K18"/>
  <c r="L31"/>
  <c r="L18"/>
  <c r="G9" i="191"/>
  <c r="I18" i="193"/>
  <c r="I39"/>
  <c r="J39" i="194"/>
  <c r="I24"/>
  <c r="I25"/>
  <c r="I42"/>
  <c r="I57"/>
  <c r="I39" i="195"/>
  <c r="I43"/>
  <c r="J7" i="196"/>
  <c r="I13" i="280"/>
  <c r="O10" i="336"/>
  <c r="M10"/>
  <c r="K10"/>
  <c r="I10"/>
  <c r="G10"/>
  <c r="O9"/>
  <c r="M9"/>
  <c r="K9"/>
  <c r="I9"/>
  <c r="G9"/>
  <c r="I32" i="195"/>
  <c r="E9" i="336"/>
  <c r="I81" i="338"/>
  <c r="J81"/>
  <c r="K39" i="193"/>
  <c r="J25" i="194"/>
  <c r="E12" i="191"/>
  <c r="E13"/>
  <c r="J79" i="339"/>
  <c r="J90"/>
  <c r="I90"/>
  <c r="I90" i="338"/>
  <c r="J79"/>
  <c r="J90"/>
  <c r="J40" i="194"/>
  <c r="E9" i="191"/>
  <c r="E14"/>
  <c r="E5"/>
  <c r="J42" i="194"/>
  <c r="J57"/>
  <c r="E12" i="280"/>
  <c r="I10"/>
  <c r="C12"/>
  <c r="J24" i="196"/>
  <c r="E30" i="191"/>
  <c r="D12" i="280"/>
  <c r="E28" i="191"/>
  <c r="E27"/>
  <c r="E17"/>
  <c r="J40" i="196"/>
  <c r="J44"/>
  <c r="J46"/>
  <c r="E26" i="191"/>
  <c r="I7" i="280" l="1"/>
  <c r="I12" s="1"/>
  <c r="H12"/>
  <c r="G21"/>
  <c r="G24" s="1"/>
  <c r="G26" s="1"/>
  <c r="B19"/>
  <c r="B20" s="1"/>
  <c r="B21" s="1"/>
  <c r="B24" s="1"/>
  <c r="B26" s="1"/>
  <c r="D34"/>
  <c r="H30"/>
  <c r="D19"/>
  <c r="C34"/>
  <c r="C19"/>
  <c r="C20" s="1"/>
  <c r="C21" s="1"/>
  <c r="C24" s="1"/>
  <c r="C26" s="1"/>
  <c r="G20"/>
  <c r="B34"/>
  <c r="F19"/>
  <c r="F20" s="1"/>
  <c r="E34"/>
  <c r="J34"/>
  <c r="F40" i="193"/>
  <c r="F41" s="1"/>
  <c r="E47" i="280" s="1"/>
  <c r="H40" i="193"/>
  <c r="H41" s="1"/>
  <c r="G47" i="280" s="1"/>
  <c r="E41" i="193"/>
  <c r="D47" i="280" s="1"/>
  <c r="J40" i="193"/>
  <c r="J41" s="1"/>
  <c r="I40"/>
  <c r="I41" s="1"/>
  <c r="G40"/>
  <c r="G41" s="1"/>
  <c r="F47" i="280" s="1"/>
  <c r="D20"/>
  <c r="D21" s="1"/>
  <c r="D24" s="1"/>
  <c r="D26" s="1"/>
  <c r="F21"/>
  <c r="F24" s="1"/>
  <c r="F26" s="1"/>
  <c r="E19"/>
  <c r="I15"/>
  <c r="C47"/>
  <c r="G6" i="191"/>
  <c r="K19" i="280"/>
  <c r="K20" s="1"/>
  <c r="K21" s="1"/>
  <c r="K24" s="1"/>
  <c r="K26" s="1"/>
  <c r="L40" i="196"/>
  <c r="L44" s="1"/>
  <c r="L46" s="1"/>
  <c r="K40"/>
  <c r="K44" s="1"/>
  <c r="K46" s="1"/>
  <c r="F6" i="191"/>
  <c r="J19" i="280"/>
  <c r="J20" s="1"/>
  <c r="J21" s="1"/>
  <c r="J24" s="1"/>
  <c r="J26" s="1"/>
  <c r="H34" l="1"/>
  <c r="I30"/>
  <c r="I34" s="1"/>
  <c r="H19"/>
  <c r="H20" s="1"/>
  <c r="H21" s="1"/>
  <c r="I19"/>
  <c r="I20" s="1"/>
  <c r="I21" s="1"/>
  <c r="I47"/>
  <c r="H47"/>
  <c r="K40" i="193"/>
  <c r="K41" s="1"/>
  <c r="E32" i="191"/>
  <c r="E20" i="280"/>
  <c r="E21" s="1"/>
  <c r="E24" s="1"/>
  <c r="E26" s="1"/>
  <c r="H22" l="1"/>
  <c r="L40" i="193"/>
  <c r="L41" s="1"/>
  <c r="J47" i="280"/>
  <c r="F32" i="191"/>
  <c r="K47" i="280" l="1"/>
  <c r="G32" i="191"/>
  <c r="H23" i="280"/>
  <c r="I23" s="1"/>
  <c r="I22"/>
  <c r="I24" l="1"/>
  <c r="H24"/>
  <c r="H25" s="1"/>
  <c r="I25" l="1"/>
  <c r="I26" s="1"/>
  <c r="H26"/>
  <c r="B5" i="100"/>
  <c r="B19"/>
  <c r="B24"/>
  <c r="B4"/>
  <c r="B22"/>
  <c r="B21"/>
  <c r="B2"/>
  <c r="B23"/>
  <c r="B25"/>
  <c r="B6"/>
  <c r="B28"/>
  <c r="B20"/>
  <c r="B26"/>
  <c r="B3"/>
  <c r="B27"/>
  <c r="B30"/>
  <c r="B29"/>
  <c r="J2" i="280"/>
  <c r="O3" i="278"/>
  <c r="K2" i="337"/>
  <c r="K2" i="195"/>
  <c r="K2" i="194"/>
  <c r="K2" i="192"/>
  <c r="K2" i="287"/>
  <c r="K2" i="196"/>
  <c r="K2" i="193"/>
  <c r="K3" i="333"/>
  <c r="K2" i="339"/>
  <c r="F2" i="191"/>
  <c r="B17" i="100"/>
  <c r="K2" i="338"/>
  <c r="C2"/>
  <c r="B2" i="278"/>
  <c r="C2" i="192"/>
  <c r="C2" i="194"/>
  <c r="C2" i="193"/>
  <c r="C2" i="337"/>
  <c r="C2" i="196"/>
  <c r="D2" i="191"/>
  <c r="C2" i="195"/>
  <c r="C2" i="287"/>
  <c r="B2" i="280"/>
  <c r="N3" i="278"/>
  <c r="I3" i="333"/>
  <c r="C2" i="339"/>
  <c r="B16" i="100"/>
  <c r="C2" i="286"/>
  <c r="L2" i="194"/>
  <c r="L2" i="338"/>
  <c r="G2" i="191"/>
  <c r="L2" i="192"/>
  <c r="L2" i="193"/>
  <c r="L3" i="333"/>
  <c r="L2" i="195"/>
  <c r="L2" i="196"/>
  <c r="P3" i="278"/>
  <c r="K2" i="280"/>
  <c r="L2" i="287"/>
  <c r="L2" i="337"/>
  <c r="B18" i="100"/>
  <c r="L2" i="339"/>
  <c r="I2" i="333"/>
  <c r="X36" i="341"/>
  <c r="B7" i="100"/>
  <c r="B51"/>
</calcChain>
</file>

<file path=xl/sharedStrings.xml><?xml version="1.0" encoding="utf-8"?>
<sst xmlns="http://schemas.openxmlformats.org/spreadsheetml/2006/main" count="1626" uniqueCount="935">
  <si>
    <t>Remuneration of Board Members</t>
  </si>
  <si>
    <t>Schedule of funding diligence</t>
  </si>
  <si>
    <t>Other expenditure</t>
  </si>
  <si>
    <t>Present value</t>
  </si>
  <si>
    <t>Monetary Assets/Current Liabilities</t>
  </si>
  <si>
    <t>Revenue Management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</si>
  <si>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</si>
  <si>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</si>
  <si>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</si>
  <si>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</si>
  <si>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</si>
  <si>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</si>
  <si>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E</t>
  </si>
  <si>
    <t>F</t>
  </si>
  <si>
    <t>G</t>
  </si>
  <si>
    <t>National Government</t>
  </si>
  <si>
    <t>(Available cash + Investments)/monthly fixed operational expenditure</t>
  </si>
  <si>
    <t>Finance charges</t>
  </si>
  <si>
    <t>Other revenue</t>
  </si>
  <si>
    <t>Non current assets</t>
  </si>
  <si>
    <t>LIABILITIES</t>
  </si>
  <si>
    <t>Non current liabilities</t>
  </si>
  <si>
    <t>Total non current liabilities</t>
  </si>
  <si>
    <t>Total current liabilities</t>
  </si>
  <si>
    <t>Nat. or Prov. Govt</t>
  </si>
  <si>
    <t>Multi-year capital</t>
  </si>
  <si>
    <t>Cash/cash equivalents at the year end</t>
  </si>
  <si>
    <t xml:space="preserve"> - Adjustments Budget - Month YYYY</t>
  </si>
  <si>
    <t>Biological assets</t>
  </si>
  <si>
    <t>Intangible assets</t>
  </si>
  <si>
    <t>Taxation</t>
  </si>
  <si>
    <t>Annual Debtors Collection Rate (Payment Level %)</t>
  </si>
  <si>
    <t>Last 12 Mths Receipts/ Last 12 Mths Billing</t>
  </si>
  <si>
    <t>Outstanding Debtors to Revenue</t>
  </si>
  <si>
    <t>Funded by:</t>
  </si>
  <si>
    <t>Internally generated funds</t>
  </si>
  <si>
    <t>Employee costs</t>
  </si>
  <si>
    <t>C</t>
  </si>
  <si>
    <t>Public contributions &amp; donations</t>
  </si>
  <si>
    <t>Surplus/ (Deficit) for the yr/period</t>
  </si>
  <si>
    <t>Depreciation and debt impairment</t>
  </si>
  <si>
    <t>Unit of measurement</t>
  </si>
  <si>
    <t>Year11</t>
  </si>
  <si>
    <t>Year12</t>
  </si>
  <si>
    <t>Year13</t>
  </si>
  <si>
    <t>Year14</t>
  </si>
  <si>
    <t>Year15</t>
  </si>
  <si>
    <t>Revenue By Source</t>
  </si>
  <si>
    <t>Expenditure By Type</t>
  </si>
  <si>
    <t>Total Revenue</t>
  </si>
  <si>
    <t>Total Expenditure</t>
  </si>
  <si>
    <t>Surplus/(Deficit)</t>
  </si>
  <si>
    <t>Street Lighting</t>
  </si>
  <si>
    <t>Gas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</si>
  <si>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</si>
  <si>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</si>
  <si>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</si>
  <si>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</si>
  <si>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</si>
  <si>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</si>
  <si>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</si>
  <si>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Munishort</t>
  </si>
  <si>
    <t>Community wealth/Equity</t>
  </si>
  <si>
    <t>Contributions of PPE</t>
  </si>
  <si>
    <t>Water Distribution Losses</t>
  </si>
  <si>
    <t>Electricity Distribution Losses</t>
  </si>
  <si>
    <t>Head40</t>
  </si>
  <si>
    <t>Head41</t>
  </si>
  <si>
    <t>Head42</t>
  </si>
  <si>
    <t>Name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</si>
  <si>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</si>
  <si>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</si>
  <si>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</si>
  <si>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</si>
  <si>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</si>
  <si>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2. s57 of the Systems Act</t>
  </si>
  <si>
    <t>2004/05</t>
  </si>
  <si>
    <t>Audited Outcome</t>
  </si>
  <si>
    <t>Quarter ended 30 June</t>
  </si>
  <si>
    <t>Head35</t>
  </si>
  <si>
    <t>Quarter ended 30 September</t>
  </si>
  <si>
    <t>B</t>
  </si>
  <si>
    <t>Current assets/current liabilities</t>
  </si>
  <si>
    <t>Accrued interest for the month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</si>
  <si>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</si>
  <si>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</si>
  <si>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</si>
  <si>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</si>
  <si>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</si>
  <si>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</si>
  <si>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</si>
  <si>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</si>
  <si>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</si>
  <si>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Libraries</t>
  </si>
  <si>
    <t>Description of financial indicator</t>
  </si>
  <si>
    <t>2006/07</t>
  </si>
  <si>
    <t>Refuse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</si>
  <si>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</si>
  <si>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</si>
  <si>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</si>
  <si>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</si>
  <si>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</si>
  <si>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</si>
  <si>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</si>
  <si>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</si>
  <si>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Accumulated Surplus/(Deficit)</t>
  </si>
  <si>
    <t>Ref</t>
  </si>
  <si>
    <t>Total sources of capital funds</t>
  </si>
  <si>
    <t>Head48</t>
  </si>
  <si>
    <t>Loss on disposal of PPE</t>
  </si>
  <si>
    <t>Head1A</t>
  </si>
  <si>
    <t>A</t>
  </si>
  <si>
    <t>2. Revisions approved in accordance with MFMA section 87(6a)</t>
  </si>
  <si>
    <t>2. The target impact of revisions approved in accordance with MFMA section 87(6a)</t>
  </si>
  <si>
    <t>3. The target impact of expenditure of additional allocations from the Parent Municipality in accordance with MFMA section 87(6b)</t>
  </si>
  <si>
    <t>4. The target impact of revisions approved in accordance approved in accordance with MFMA section 87(6c)</t>
  </si>
  <si>
    <t>1. If benefits in kind are provided (e.g. provision of living quarters) the full market value must be shown as the cost to the municipality</t>
  </si>
  <si>
    <t>4. The target impact of revisions approved in accordance with MFMA section 87(6a)</t>
  </si>
  <si>
    <t>5. The target impact of expenditure of additional allocations from the Parent Municipality in accordance with MFMA section 87(6b)</t>
  </si>
  <si>
    <t>6. The target impact of revisions approved in accordance approved in accordance with MFMA section 87(6c)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</si>
  <si>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</si>
  <si>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</si>
  <si>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</si>
  <si>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</si>
  <si>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</si>
  <si>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</si>
  <si>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</si>
  <si>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</si>
  <si>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</si>
  <si>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</si>
  <si>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</si>
  <si>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check</t>
  </si>
  <si>
    <t>Civic Land and Buildings</t>
  </si>
  <si>
    <t>Fire</t>
  </si>
  <si>
    <t>Conservancy</t>
  </si>
  <si>
    <t>Ambulances</t>
  </si>
  <si>
    <t>Buses</t>
  </si>
  <si>
    <t>Provincial Government</t>
  </si>
  <si>
    <t>District Municipality</t>
  </si>
  <si>
    <t>D</t>
  </si>
  <si>
    <t>LTFS</t>
  </si>
  <si>
    <t>Check</t>
  </si>
  <si>
    <t>Expiry date of investment</t>
  </si>
  <si>
    <t>Total capital expenditure</t>
  </si>
  <si>
    <t>Original Budget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</si>
  <si>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</si>
  <si>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</si>
  <si>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</si>
  <si>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</si>
  <si>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</si>
  <si>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</si>
  <si>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</si>
  <si>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Year10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</si>
  <si>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</si>
  <si>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</si>
  <si>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</si>
  <si>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</si>
  <si>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</si>
  <si>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</si>
  <si>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</si>
  <si>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</si>
  <si>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Head49</t>
  </si>
  <si>
    <t>Head50</t>
  </si>
  <si>
    <t>Virement</t>
  </si>
  <si>
    <t>Total Outstanding Debtors to Annual Revenue</t>
  </si>
  <si>
    <t>Current assets/current liabilities less debtors &gt; 90 days</t>
  </si>
  <si>
    <t>Current Ratio adjusted for debtors</t>
  </si>
  <si>
    <t>Project number</t>
  </si>
  <si>
    <t>New or renewal</t>
  </si>
  <si>
    <t>Project information</t>
  </si>
  <si>
    <t>Ward location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</si>
  <si>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</si>
  <si>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</si>
  <si>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</si>
  <si>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</si>
  <si>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</si>
  <si>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</si>
  <si>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</si>
  <si>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</si>
  <si>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</si>
  <si>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Municipal Entities mid-year review and adjusted budget schedules</t>
  </si>
  <si>
    <t>Asset Class</t>
  </si>
  <si>
    <t>i. Debt coverage</t>
  </si>
  <si>
    <t>iii. Cost coverage</t>
  </si>
  <si>
    <t>Forecast Financial Position</t>
  </si>
  <si>
    <t>Cash1</t>
  </si>
  <si>
    <t>Cash2</t>
  </si>
  <si>
    <t>Muni</t>
  </si>
  <si>
    <t>Head1B</t>
  </si>
  <si>
    <t>Head26</t>
  </si>
  <si>
    <t>Vote Description</t>
  </si>
  <si>
    <t>VDesc</t>
  </si>
  <si>
    <t>Head27</t>
  </si>
  <si>
    <t>Depreciation &amp; asset impairment</t>
  </si>
  <si>
    <t>Head55</t>
  </si>
  <si>
    <t>Borrowed funding of capital expenditure</t>
  </si>
  <si>
    <t>MEAB8</t>
  </si>
  <si>
    <t>MEABsum</t>
  </si>
  <si>
    <t>Dividends</t>
  </si>
  <si>
    <t>R thousands</t>
  </si>
  <si>
    <t>Heritage assets</t>
  </si>
  <si>
    <t>Investment properties</t>
  </si>
  <si>
    <t>Other assets</t>
  </si>
  <si>
    <t>Remuneration</t>
  </si>
  <si>
    <t>Municipal Vote/Capital project</t>
  </si>
  <si>
    <t>Description</t>
  </si>
  <si>
    <t>YTD  Actual 31 Dec</t>
  </si>
  <si>
    <t>YTD  Budget 31 Dec</t>
  </si>
  <si>
    <t>Head2A</t>
  </si>
  <si>
    <t>Budget Cash Flow</t>
  </si>
  <si>
    <t>Forecast Cash Flow</t>
  </si>
  <si>
    <t>Expenditure includes repairs &amp; maintenance of R'000</t>
  </si>
  <si>
    <t>RandM</t>
  </si>
  <si>
    <t>Grants</t>
  </si>
  <si>
    <t>Ratepayers and other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</si>
  <si>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</si>
  <si>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</si>
  <si>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</si>
  <si>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</si>
  <si>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</si>
  <si>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</si>
  <si>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</si>
  <si>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</si>
  <si>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</si>
  <si>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</si>
  <si>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</si>
  <si>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</si>
  <si>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</si>
  <si>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</si>
  <si>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</si>
  <si>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</si>
  <si>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</si>
  <si>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5. Revisions approved in accordance approved in accordance with MFMA section 87(6d)</t>
  </si>
  <si>
    <t>6. F = B + C + D + E</t>
  </si>
  <si>
    <t>7. Adjusted Budget G = (A or A1/2 etc) + F</t>
  </si>
  <si>
    <t>5. The target impact of revisions approved in accordance approved in accordance with MFMA section 87(6d)</t>
  </si>
  <si>
    <t>8. The format of the objectives are as negotiated between the entity and the municipality when the budget was tabled</t>
  </si>
  <si>
    <t>9. Only show adjustments to the performance targets affected by an adjustments budget change</t>
  </si>
  <si>
    <t>7. The target impact of revisions approved in accordance approved in accordance with MFMA section 87(6d)</t>
  </si>
  <si>
    <t>8. F = B + C + D + E</t>
  </si>
  <si>
    <t>9. Adjusted Budget G = (A or A1/2 etc) + F</t>
  </si>
  <si>
    <t>Head57</t>
  </si>
  <si>
    <t xml:space="preserve">Month DD, YYYY - </t>
  </si>
  <si>
    <t>YearTD actual</t>
  </si>
  <si>
    <t>YearTD budget</t>
  </si>
  <si>
    <t>Specialised vehicles</t>
  </si>
  <si>
    <t>Other</t>
  </si>
  <si>
    <t>Long Term Borrowing/ Funds &amp; Reserves</t>
  </si>
  <si>
    <t>check balance</t>
  </si>
  <si>
    <t>CASH FLOWS FROM INVESTING ACTIVITIES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</si>
  <si>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</si>
  <si>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</si>
  <si>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</si>
  <si>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</si>
  <si>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</si>
  <si>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</si>
  <si>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</si>
  <si>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</si>
  <si>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</si>
  <si>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</si>
  <si>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Head39</t>
  </si>
  <si>
    <t>Monthly actual</t>
  </si>
  <si>
    <t>Financial Performance</t>
  </si>
  <si>
    <t>Standard nomenclature</t>
  </si>
  <si>
    <t>Repairs &amp; Maintenance</t>
  </si>
  <si>
    <t>Interest &amp; Depreciation</t>
  </si>
  <si>
    <t>Employee costs/Total Revenue - capital revenue</t>
  </si>
  <si>
    <t>R&amp;M/Total Revenue - capital revenue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</si>
  <si>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</si>
  <si>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</si>
  <si>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</si>
  <si>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</si>
  <si>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</si>
  <si>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</si>
  <si>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</si>
  <si>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</si>
  <si>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Basis of calculation</t>
  </si>
  <si>
    <t>NET ASSETS</t>
  </si>
  <si>
    <t>TOTAL ASSETS</t>
  </si>
  <si>
    <t>Cash/cash equivalents at the year end:</t>
  </si>
  <si>
    <t>Borrowing</t>
  </si>
  <si>
    <t>Clinics</t>
  </si>
  <si>
    <t>Museums &amp; Art Galleries</t>
  </si>
  <si>
    <t>July</t>
  </si>
  <si>
    <t>Head43</t>
  </si>
  <si>
    <t>YTD variance</t>
  </si>
  <si>
    <t>1. Delete if not an electricity entity</t>
  </si>
  <si>
    <t>2. Delete if not an water entity</t>
  </si>
  <si>
    <t>Change</t>
  </si>
  <si>
    <t>Total expenditure</t>
  </si>
  <si>
    <t xml:space="preserve"> Asset Sub-Class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</si>
  <si>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</si>
  <si>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</si>
  <si>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</si>
  <si>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</si>
  <si>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Cash flow</t>
  </si>
  <si>
    <t>Parent Municipality</t>
  </si>
  <si>
    <t>Mid-year review/Adjusted Budget</t>
  </si>
  <si>
    <t>MEAB1</t>
  </si>
  <si>
    <t>MEAB2</t>
  </si>
  <si>
    <t>MEAB3</t>
  </si>
  <si>
    <t>MEAB4</t>
  </si>
  <si>
    <t>MEAB5</t>
  </si>
  <si>
    <t>MEAB6</t>
  </si>
  <si>
    <t>Head56</t>
  </si>
  <si>
    <t>Total Adjusts.</t>
  </si>
  <si>
    <t>Total Long-term Borrowing/ Total Assets</t>
  </si>
  <si>
    <t>% of Creditors Paid Within Terms (within MFMA s 65(e))</t>
  </si>
  <si>
    <t>ii. O/S Service Debtors to Revenue</t>
  </si>
  <si>
    <t>Period of investment</t>
  </si>
  <si>
    <t>Type of investment</t>
  </si>
  <si>
    <t>Yield
%</t>
  </si>
  <si>
    <t>Agricultural assets</t>
  </si>
  <si>
    <t>Months</t>
  </si>
  <si>
    <t>Borrowing to Asset Ratio</t>
  </si>
  <si>
    <t>Capital Charges to Operating Expenditure</t>
  </si>
  <si>
    <t>Current Ratio</t>
  </si>
  <si>
    <t>Financial viability indicators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</si>
  <si>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</si>
  <si>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</si>
  <si>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</si>
  <si>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</si>
  <si>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</si>
  <si>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</si>
  <si>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</si>
  <si>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A1</t>
  </si>
  <si>
    <t>3. Only complete if a previous adjusted budget has been approved in the same financial year. Add an additional column for each previously approved Adjustments Budget</t>
  </si>
  <si>
    <t>List sub-class</t>
  </si>
  <si>
    <t>Medium Term Revenue and Expenditure Framework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</si>
  <si>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</si>
  <si>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</si>
  <si>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</si>
  <si>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</si>
  <si>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</si>
  <si>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</si>
  <si>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</si>
  <si>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</si>
  <si>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Cash/cash equivalents at the year begin: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</si>
  <si>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</si>
  <si>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</si>
  <si>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</si>
  <si>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</si>
  <si>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</si>
  <si>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</si>
  <si>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Collection costs</t>
  </si>
  <si>
    <t>Bulk purchases</t>
  </si>
  <si>
    <t>Contracted services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</si>
  <si>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</si>
  <si>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</si>
  <si>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</si>
  <si>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</si>
  <si>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</si>
  <si>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</si>
  <si>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</si>
  <si>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Market value</t>
  </si>
  <si>
    <t>Begin</t>
  </si>
  <si>
    <t>End</t>
  </si>
  <si>
    <t>Interest</t>
  </si>
  <si>
    <t>Summary of Employee and Board Member remuneration</t>
  </si>
  <si>
    <t>Dividends paid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</si>
  <si>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</si>
  <si>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</si>
  <si>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</si>
  <si>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</si>
  <si>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</si>
  <si>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Total investments</t>
  </si>
  <si>
    <t>1. Yield is calculated as the annualised equivalent</t>
  </si>
  <si>
    <t>MEAB7</t>
  </si>
  <si>
    <t>Total Capital Funding</t>
  </si>
  <si>
    <t>Surplus/ (Deficit) for the year</t>
  </si>
  <si>
    <t>Investments by maturity
Name of institution &amp; investment ID</t>
  </si>
  <si>
    <t>Receipts</t>
  </si>
  <si>
    <t>Payments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</si>
  <si>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</si>
  <si>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</si>
  <si>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</si>
  <si>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</si>
  <si>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</si>
  <si>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</si>
  <si>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August</t>
  </si>
  <si>
    <t>Sept.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</si>
  <si>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</si>
  <si>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</si>
  <si>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</si>
  <si>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</si>
  <si>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</si>
  <si>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</si>
  <si>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</si>
  <si>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</si>
  <si>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</si>
  <si>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Other materials</t>
  </si>
  <si>
    <t>Interest &amp; Depreciation /Operating Expenditure</t>
  </si>
  <si>
    <t>Dividends received</t>
  </si>
  <si>
    <t>Proceeds on disposal of PPE</t>
  </si>
  <si>
    <t>Head46</t>
  </si>
  <si>
    <t>Program/Project description</t>
  </si>
  <si>
    <t>Total Project Estimate</t>
  </si>
  <si>
    <t>Capital expenditure &amp; funds sources</t>
  </si>
  <si>
    <t>Property rates</t>
  </si>
  <si>
    <t>Head2</t>
  </si>
  <si>
    <t>Head3</t>
  </si>
  <si>
    <t>Head4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</si>
  <si>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</si>
  <si>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</si>
  <si>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</si>
  <si>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</si>
  <si>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</si>
  <si>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</si>
  <si>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</si>
  <si>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</si>
  <si>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</si>
  <si>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</si>
  <si>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</si>
  <si>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</si>
  <si>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</si>
  <si>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</si>
  <si>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</si>
  <si>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</si>
  <si>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</si>
  <si>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</si>
  <si>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</si>
  <si>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</si>
  <si>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Borrowing long term/refinancing</t>
  </si>
  <si>
    <t>MEAB9</t>
  </si>
  <si>
    <t>MEAB11</t>
  </si>
  <si>
    <t>Transfers recognised - capital</t>
  </si>
  <si>
    <t>Surplus/(Deficit) before taxation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</si>
  <si>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</si>
  <si>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</si>
  <si>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</si>
  <si>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</si>
  <si>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</si>
  <si>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</si>
  <si>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</si>
  <si>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</si>
  <si>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</si>
  <si>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1. Only complete if a previous adjusted budget has been approved in the same financial year. Add an additional column for each previously approved Adjustments Budget</t>
  </si>
  <si>
    <t>Head59</t>
  </si>
  <si>
    <t>3. Expenditure of additional allocations from the Parent Municipality in accordance with MFMA section 87(6b)</t>
  </si>
  <si>
    <t>4. Revisions approved in accordance approved in accordance with MFMA section 87(6c)</t>
  </si>
  <si>
    <t>Remuneration of board members</t>
  </si>
  <si>
    <t>Head3A</t>
  </si>
  <si>
    <t>TOTAL LIABILITIES</t>
  </si>
  <si>
    <t>Debt to Equity</t>
  </si>
  <si>
    <t>Longstanding Debtors Reduction Due To Recovery</t>
  </si>
  <si>
    <t>Debtors &gt; 12 Mths Recovered/Total Debtors &gt; 12 Months Old</t>
  </si>
  <si>
    <t>Creditors Management</t>
  </si>
  <si>
    <t>Creditors System Efficiency</t>
  </si>
  <si>
    <t>Board Members of Entities</t>
  </si>
  <si>
    <t>Basic Salaries</t>
  </si>
  <si>
    <t>Pension Contributions</t>
  </si>
  <si>
    <t>Medical Aid Contributions</t>
  </si>
  <si>
    <t>Housing allowance</t>
  </si>
  <si>
    <t>In-kind benefits</t>
  </si>
  <si>
    <t>Board Fees</t>
  </si>
  <si>
    <t>Sub Total - Board Members of Entities</t>
  </si>
  <si>
    <t>% increase</t>
  </si>
  <si>
    <t>Senior Managers of Entities</t>
  </si>
  <si>
    <t>Other benefits or allowances</t>
  </si>
  <si>
    <t>Performance Bonus</t>
  </si>
  <si>
    <t>Sub Total - Senior Managers of Entities</t>
  </si>
  <si>
    <t>Other Staff of Entities</t>
  </si>
  <si>
    <t>Overtime</t>
  </si>
  <si>
    <t>Sub Total - Other Staff of Entities</t>
  </si>
  <si>
    <t>Total Municipal Entities remuneration</t>
  </si>
  <si>
    <t>Grants:</t>
  </si>
  <si>
    <t>National - opex</t>
  </si>
  <si>
    <t>Provincial - opex</t>
  </si>
  <si>
    <t>National - capex</t>
  </si>
  <si>
    <t>Provincial - capex</t>
  </si>
  <si>
    <t>2005/06</t>
  </si>
  <si>
    <t>2007/08</t>
  </si>
  <si>
    <t>2008/09</t>
  </si>
  <si>
    <t xml:space="preserve">  Equitable share</t>
  </si>
  <si>
    <t xml:space="preserve">  Health subsidy</t>
  </si>
  <si>
    <t xml:space="preserve">  Municipal Infrastructure (MIG)</t>
  </si>
  <si>
    <t xml:space="preserve">  Levy replacement</t>
  </si>
  <si>
    <t xml:space="preserve">  Ambulance subsidy</t>
  </si>
  <si>
    <t xml:space="preserve">  Public Transport</t>
  </si>
  <si>
    <t xml:space="preserve">  Finance Management</t>
  </si>
  <si>
    <t xml:space="preserve">  Housing</t>
  </si>
  <si>
    <t xml:space="preserve">  Public Works</t>
  </si>
  <si>
    <t>Current Year 2006/07</t>
  </si>
  <si>
    <t>Current Year 2007/08</t>
  </si>
  <si>
    <t>Current Year 2008/09</t>
  </si>
  <si>
    <t>Current Year 2009/10</t>
  </si>
  <si>
    <t xml:space="preserve">  Municipal Systems Improvement</t>
  </si>
  <si>
    <t xml:space="preserve">  Sports and Recreation</t>
  </si>
  <si>
    <t xml:space="preserve">  Sport and Recreation</t>
  </si>
  <si>
    <t>2009/10</t>
  </si>
  <si>
    <t xml:space="preserve">  Restructuring</t>
  </si>
  <si>
    <t xml:space="preserve">  Water Affairs</t>
  </si>
  <si>
    <t>2007/08 Medium Term Revenue &amp; Expenditure Framework</t>
  </si>
  <si>
    <t>2008/09 Medium Term Revenue &amp; Expenditure Framework</t>
  </si>
  <si>
    <t>2009/10 Medium Term Revenue &amp; Expenditure Framework</t>
  </si>
  <si>
    <t xml:space="preserve">  Department of Water Affairs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</si>
  <si>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</si>
  <si>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</si>
  <si>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</si>
  <si>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</si>
  <si>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</si>
  <si>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</si>
  <si>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</si>
  <si>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</si>
  <si>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</si>
  <si>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Forecast 2022/23</t>
  </si>
  <si>
    <t>Forecast 2023/24</t>
  </si>
  <si>
    <t>Forecast 2024/25</t>
  </si>
  <si>
    <t>Adjustments Budget</t>
  </si>
  <si>
    <t>Annual target 2008/09</t>
  </si>
  <si>
    <t>Annual target 2009/10</t>
  </si>
  <si>
    <t>Annual target 2010/11</t>
  </si>
  <si>
    <t>Revised target 2008/09</t>
  </si>
  <si>
    <t>Revised target 2009/10</t>
  </si>
  <si>
    <t>Revised target 2010/11</t>
  </si>
  <si>
    <t>NOTE: This sheet should not be directly amended - select headings from sheet 'Start'</t>
  </si>
  <si>
    <t>Prior year -1</t>
  </si>
  <si>
    <t>Prior year -2</t>
  </si>
  <si>
    <t>Prior year -3</t>
  </si>
  <si>
    <t>Year in which budget is being prepared</t>
  </si>
  <si>
    <t>MTREF name</t>
  </si>
  <si>
    <t>1st year of MTREF</t>
  </si>
  <si>
    <t>2nd year of MTREF</t>
  </si>
  <si>
    <t>3rd year of MTREF</t>
  </si>
  <si>
    <t>1st yr of long term forecast</t>
  </si>
  <si>
    <t>Next yr of long term forecast</t>
  </si>
  <si>
    <t>Supporting calculations and data:</t>
  </si>
  <si>
    <t>Debtors &gt; 90 days</t>
  </si>
  <si>
    <t>Last 12 months receipts</t>
  </si>
  <si>
    <t>Last 12 months billing</t>
  </si>
  <si>
    <t>Debtors &gt; 12 Mths Recovered</t>
  </si>
  <si>
    <t>1. Revenue includes sales of: (insert description)</t>
  </si>
  <si>
    <t>2. Bulk purchases - electricity</t>
  </si>
  <si>
    <t>2. Bulk purchases - water</t>
  </si>
  <si>
    <t>Debt service payments due within financial year</t>
  </si>
  <si>
    <t>Annual revenue received for services</t>
  </si>
  <si>
    <t>Monthly fixed operational expenditure</t>
  </si>
  <si>
    <t xml:space="preserve">Table E1 </t>
  </si>
  <si>
    <t xml:space="preserve">Table E2 </t>
  </si>
  <si>
    <t xml:space="preserve">Table E3 </t>
  </si>
  <si>
    <t xml:space="preserve">Table E4 </t>
  </si>
  <si>
    <t xml:space="preserve">Table E5 </t>
  </si>
  <si>
    <t>Total Revenue (excluding capital transfers and contributions)</t>
  </si>
  <si>
    <t>Transfers and grants</t>
  </si>
  <si>
    <t>Contributions recognised - capital &amp; contributed assets</t>
  </si>
  <si>
    <t>Surplus/(Deficit) after capital transfers &amp; contributions</t>
  </si>
  <si>
    <t>Multi-Year expenditure</t>
  </si>
  <si>
    <t>Insert programme/projects description</t>
  </si>
  <si>
    <t>Single Year expenditure</t>
  </si>
  <si>
    <t>Insert single year budgets and indicative estimates</t>
  </si>
  <si>
    <t>Capital single-year expenditure sub-total</t>
  </si>
  <si>
    <t>Performance target description</t>
  </si>
  <si>
    <t>Motor vehicle allowance</t>
  </si>
  <si>
    <t>Other benefits and allowances</t>
  </si>
  <si>
    <t>Cell phone allowance</t>
  </si>
  <si>
    <t>Suppliers, employees and other</t>
  </si>
  <si>
    <t>Borrowing long term/refinancing/short term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</si>
  <si>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</si>
  <si>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</si>
  <si>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</si>
  <si>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</si>
  <si>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</si>
  <si>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</si>
  <si>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</si>
  <si>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</si>
  <si>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</si>
  <si>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</si>
  <si>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</si>
  <si>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</si>
  <si>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</si>
  <si>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Waste Management</t>
  </si>
  <si>
    <t>Transportation</t>
  </si>
  <si>
    <t>Parks &amp; gardens</t>
  </si>
  <si>
    <t>Sportsfields &amp; stadia</t>
  </si>
  <si>
    <t>Swimming pools</t>
  </si>
  <si>
    <t>Community halls</t>
  </si>
  <si>
    <t>Recreational facilities</t>
  </si>
  <si>
    <t>Fire, safety &amp; emergency</t>
  </si>
  <si>
    <t>Security and policing</t>
  </si>
  <si>
    <t>Cemeteries</t>
  </si>
  <si>
    <t>Social rental housing</t>
  </si>
  <si>
    <t>Buildings</t>
  </si>
  <si>
    <t>Housing development</t>
  </si>
  <si>
    <t>General vehicles</t>
  </si>
  <si>
    <t>Computers - hardware/equipment</t>
  </si>
  <si>
    <t>Furniture and other office equipment</t>
  </si>
  <si>
    <t>Other Buildings</t>
  </si>
  <si>
    <t>Other Land</t>
  </si>
  <si>
    <t>Surplus Assets - (Investment or Inventory)</t>
  </si>
  <si>
    <r>
      <t xml:space="preserve">Other </t>
    </r>
    <r>
      <rPr>
        <i/>
        <sz val="8"/>
        <rFont val="Arial Narrow"/>
        <family val="2"/>
      </rPr>
      <t>(list sub-class)</t>
    </r>
  </si>
  <si>
    <t>1. Total Capital Expenditure by Asset Category must reconcile to total capital expenditure shown in Capital budget</t>
  </si>
  <si>
    <t xml:space="preserve">Bulk purchases </t>
  </si>
  <si>
    <t>8. Cash equivalents includes investments with maturities of 3 months or less</t>
  </si>
  <si>
    <t>Yes</t>
  </si>
  <si>
    <t>No</t>
  </si>
  <si>
    <t>Type of Entities Range:</t>
  </si>
  <si>
    <t>Parent Municapality</t>
  </si>
  <si>
    <t>Consolidated Information</t>
  </si>
  <si>
    <t>MTREF Range:</t>
  </si>
  <si>
    <t>MTREF Linked:</t>
  </si>
  <si>
    <t>MTREF:</t>
  </si>
  <si>
    <t>Fin Year:</t>
  </si>
  <si>
    <t xml:space="preserve">Supporting Table SE2  </t>
  </si>
  <si>
    <t xml:space="preserve">Supporting Table SE1  </t>
  </si>
  <si>
    <t xml:space="preserve">Supporting Table SE3  </t>
  </si>
  <si>
    <t xml:space="preserve">Supporting Table SE4  </t>
  </si>
  <si>
    <t xml:space="preserve">Supporting Table SE5  </t>
  </si>
  <si>
    <t xml:space="preserve">Supporting Table SE7  </t>
  </si>
  <si>
    <t>MEAB10b</t>
  </si>
  <si>
    <t>MEAB10c</t>
  </si>
  <si>
    <t>MEAB10a</t>
  </si>
  <si>
    <t xml:space="preserve">Supporting Table SE6a  </t>
  </si>
  <si>
    <t>Supporting Table SE6b</t>
  </si>
  <si>
    <t>Supporting Table SE6c</t>
  </si>
  <si>
    <t>Share capital</t>
  </si>
  <si>
    <t/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</si>
  <si>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</si>
  <si>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</si>
  <si>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</si>
  <si>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</si>
  <si>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</si>
  <si>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</si>
  <si>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</si>
  <si>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</si>
  <si>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</si>
  <si>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</si>
  <si>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DC14 Ukhahlamba</t>
  </si>
  <si>
    <t>DC15 O .R. Tambo</t>
  </si>
  <si>
    <t>DC16 Xhariep</t>
  </si>
  <si>
    <t>FS FREE STATE</t>
  </si>
  <si>
    <t>DC17 Motheo</t>
  </si>
  <si>
    <t>DC18 Lejweleputswa</t>
  </si>
  <si>
    <t>DC19 Thabo Mofutsanyana</t>
  </si>
  <si>
    <t>DC2 Cape Winelands DM</t>
  </si>
  <si>
    <t>DC20 Fezile Dabi</t>
  </si>
  <si>
    <t>DC21 Ugu</t>
  </si>
  <si>
    <t>KZ KWAZULU-NATAL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</si>
  <si>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</si>
  <si>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</si>
  <si>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</si>
  <si>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</si>
  <si>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</si>
  <si>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</si>
  <si>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</si>
  <si>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</si>
  <si>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</si>
  <si>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</si>
  <si>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</si>
  <si>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</si>
  <si>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</si>
  <si>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</si>
  <si>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LP LIMPOPO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</si>
  <si>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</si>
  <si>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</si>
  <si>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</si>
  <si>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</si>
  <si>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</si>
  <si>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</si>
  <si>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</si>
  <si>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</si>
  <si>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</si>
  <si>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</si>
  <si>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</si>
  <si>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</si>
  <si>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</si>
  <si>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DC45 Kgalagadi</t>
  </si>
  <si>
    <t>NC NORTHERN CAPE</t>
  </si>
  <si>
    <t>DC46 Metsweding</t>
  </si>
  <si>
    <t>DC47 Greater Sekhukhune</t>
  </si>
  <si>
    <t>DC48 West Rand</t>
  </si>
  <si>
    <t>DC5 Central Karoo</t>
  </si>
  <si>
    <t>DC6 Namakwa</t>
  </si>
  <si>
    <t>DC7 Karoo</t>
  </si>
  <si>
    <t>DC8 Siyanda</t>
  </si>
  <si>
    <t>DC9 Frances Baard</t>
  </si>
  <si>
    <t>EC000 Nelson Mandela Bay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</si>
  <si>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</si>
  <si>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</si>
  <si>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</si>
  <si>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</si>
  <si>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</si>
  <si>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</si>
  <si>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</si>
  <si>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</si>
  <si>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EC109 Koukamma</t>
  </si>
  <si>
    <t>EC121 Mbhashe</t>
  </si>
  <si>
    <t>EC122 Mnquma</t>
  </si>
  <si>
    <t>EC123 Great Kei</t>
  </si>
  <si>
    <t>EC124 Amahlathi</t>
  </si>
  <si>
    <t>EC125 Buffalo City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</si>
  <si>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</si>
  <si>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</si>
  <si>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</si>
  <si>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</si>
  <si>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</si>
  <si>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</si>
  <si>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</si>
  <si>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</si>
  <si>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</si>
  <si>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</si>
  <si>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</si>
  <si>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</si>
  <si>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</si>
  <si>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</si>
  <si>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</si>
  <si>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EC151 Mbizana</t>
  </si>
  <si>
    <t>EC152 Ntabankulu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</si>
  <si>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</si>
  <si>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</si>
  <si>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</si>
  <si>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</si>
  <si>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</si>
  <si>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</si>
  <si>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</si>
  <si>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</si>
  <si>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</si>
  <si>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</si>
  <si>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FS171 Naledi (Fs)</t>
  </si>
  <si>
    <t>FS172 Mangaung</t>
  </si>
  <si>
    <t>FS173 Mantsopa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</si>
  <si>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</si>
  <si>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</si>
  <si>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</si>
  <si>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</si>
  <si>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</si>
  <si>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</si>
  <si>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</si>
  <si>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</si>
  <si>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</si>
  <si>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</si>
  <si>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</si>
  <si>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</si>
  <si>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</si>
  <si>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</si>
  <si>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GT000 Ekurhuleni Metro</t>
  </si>
  <si>
    <t>GT001 City Of Johannesburg</t>
  </si>
  <si>
    <t>GT002 City Of Tshwane</t>
  </si>
  <si>
    <t>GT421 Emfuleni</t>
  </si>
  <si>
    <t>GT422 Midvaal</t>
  </si>
  <si>
    <t>GT423 Lesedi</t>
  </si>
  <si>
    <t>GT461 Nokeng Tsa Taemane</t>
  </si>
  <si>
    <t>GT462 Kungwini</t>
  </si>
  <si>
    <t>GT481 Mogale City</t>
  </si>
  <si>
    <t>GT482 Randfontein</t>
  </si>
  <si>
    <t>GT483 Westonaria</t>
  </si>
  <si>
    <t>KZN000 eThekwini</t>
  </si>
  <si>
    <t>KZN211 Vulamehlo</t>
  </si>
  <si>
    <t>KZN212 Umdoni</t>
  </si>
  <si>
    <t>KZN213 Umzumbe</t>
  </si>
  <si>
    <t>KZN214 uMuziwabantu</t>
  </si>
  <si>
    <t>KZN215 Ezingolweni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</si>
  <si>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</si>
  <si>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</si>
  <si>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</si>
  <si>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</si>
  <si>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</si>
  <si>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</si>
  <si>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</si>
  <si>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</si>
  <si>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</si>
  <si>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</si>
  <si>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</si>
  <si>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</si>
  <si>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</si>
  <si>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</si>
  <si>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</si>
  <si>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</si>
  <si>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</si>
  <si>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</si>
  <si>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</si>
  <si>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</si>
  <si>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</si>
  <si>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</si>
  <si>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</si>
  <si>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</si>
  <si>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</si>
  <si>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</si>
  <si>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</si>
  <si>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KZN273 The Big Five False Bay</t>
  </si>
  <si>
    <t>KZN274 Hlabisa</t>
  </si>
  <si>
    <t>KZN275 Mtubatuba</t>
  </si>
  <si>
    <t>KZN281 Mbonambi</t>
  </si>
  <si>
    <t>KZN282 uMhlathuze</t>
  </si>
  <si>
    <t>KZN283 Ntambanana</t>
  </si>
  <si>
    <t>KZN284 Umlalazi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</si>
  <si>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</si>
  <si>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</si>
  <si>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</si>
  <si>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</si>
  <si>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</si>
  <si>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</si>
  <si>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</si>
  <si>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</si>
  <si>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</si>
  <si>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</si>
  <si>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</si>
  <si>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</si>
  <si>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 LIMPOPO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</si>
  <si>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</si>
  <si>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</si>
  <si>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</si>
  <si>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</si>
  <si>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</si>
  <si>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</si>
  <si>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</si>
  <si>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</si>
  <si>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</si>
  <si>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</si>
  <si>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</si>
  <si>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</si>
  <si>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</si>
  <si>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</si>
  <si>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</si>
  <si>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</si>
  <si>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</si>
  <si>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</si>
  <si>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</si>
  <si>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LIM471 Greater Marble Hall</t>
  </si>
  <si>
    <t>LIM472 Elias Motsoaledi</t>
  </si>
  <si>
    <t>LIM473 Makhudutamaga</t>
  </si>
  <si>
    <t>LIM474 Fetakgomo</t>
  </si>
  <si>
    <t>LIM475 Greater Tubatse</t>
  </si>
  <si>
    <t>MP301 Albert Luthuli</t>
  </si>
  <si>
    <t>MP302 Msukaligwa</t>
  </si>
  <si>
    <t>MP303 Mkhondo</t>
  </si>
  <si>
    <t>MP304 Seme</t>
  </si>
  <si>
    <t>MP305 Lekwa</t>
  </si>
  <si>
    <t>MP306 Dipaleseng</t>
  </si>
  <si>
    <t>MP307 Govan Mbeki</t>
  </si>
  <si>
    <t>MP311 Delmas</t>
  </si>
  <si>
    <t>MP312 Emalahleni (Mp)</t>
  </si>
  <si>
    <t>MP313 Steve Tshwete</t>
  </si>
  <si>
    <t>MP314 Emakhazeni</t>
  </si>
  <si>
    <t>MP315 Thembisile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</si>
  <si>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</si>
  <si>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</si>
  <si>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</si>
  <si>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</si>
  <si>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</si>
  <si>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</si>
  <si>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</si>
  <si>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</si>
  <si>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</si>
  <si>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</si>
  <si>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</si>
  <si>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</si>
  <si>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</si>
  <si>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</si>
  <si>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</si>
  <si>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</si>
  <si>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</si>
  <si>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</si>
  <si>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</si>
  <si>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</si>
  <si>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</si>
  <si>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</si>
  <si>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</si>
  <si>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</si>
  <si>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</si>
  <si>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</si>
  <si>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</si>
  <si>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</si>
  <si>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</si>
  <si>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</si>
  <si>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NC451 Moshaweng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</si>
  <si>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</si>
  <si>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</si>
  <si>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</si>
  <si>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</si>
  <si>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</si>
  <si>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</si>
  <si>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</si>
  <si>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</si>
  <si>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</si>
  <si>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</si>
  <si>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</si>
  <si>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</si>
  <si>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NW391 Kagisano</t>
  </si>
  <si>
    <t>NW392 Naledi (Nw)</t>
  </si>
  <si>
    <t>NW393 Mamusa</t>
  </si>
  <si>
    <t>NW394 Greater Taung</t>
  </si>
  <si>
    <t>NW395 Molopo</t>
  </si>
  <si>
    <t>NW396 Lekwa-Teemane</t>
  </si>
  <si>
    <t>NW401 Ventersdorp</t>
  </si>
  <si>
    <t>NW402 Tlokwe</t>
  </si>
  <si>
    <t>NW403 City Of Matlosana</t>
  </si>
  <si>
    <t>NW404 Maquassi Hills</t>
  </si>
  <si>
    <t>NW405 Merafong City</t>
  </si>
  <si>
    <t>WC000 Cape Town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</si>
  <si>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</si>
  <si>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</si>
  <si>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</si>
  <si>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</si>
  <si>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</si>
  <si>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</si>
  <si>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</si>
  <si>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</si>
  <si>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</si>
  <si>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WC026 Breede River Winelands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</si>
  <si>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</si>
  <si>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</si>
  <si>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</si>
  <si>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</si>
  <si>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</si>
  <si>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</si>
  <si>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</si>
  <si>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</si>
  <si>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</si>
  <si>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</si>
  <si>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</si>
  <si>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</si>
  <si>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</si>
  <si>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</si>
  <si>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Transfers recognised - operational</t>
  </si>
  <si>
    <t>Borrowing/Capital expenditure excl. transfers and grants and contributions</t>
  </si>
  <si>
    <t>% Volume (Total units purchased + generated less total units sold)/Total units purchased + generated</t>
  </si>
  <si>
    <t>% Volume (Total units purchased + own source less total units sold)/Total units purchased + own source</t>
  </si>
  <si>
    <t>Transfers and Grants</t>
  </si>
  <si>
    <t>Increase (decrease) in consumer deposits</t>
  </si>
  <si>
    <t>Capital multi-year expenditure sub-total</t>
  </si>
  <si>
    <t>Service charges - refuse revenue</t>
  </si>
  <si>
    <t>Contributions recognised - capital</t>
  </si>
  <si>
    <t>Capital expenditure on new assets by Asset Class/Sub-class</t>
  </si>
  <si>
    <t>Total Capital Expenditure on new assets</t>
  </si>
  <si>
    <t>Capital expenditure on renewal of existing assets by Asset Class/Sub-class</t>
  </si>
  <si>
    <t xml:space="preserve">Total Capital Expenditure on renewal of existing assets </t>
  </si>
  <si>
    <t>Repairs and maintenance expenditure by Asset Class/Sub-class</t>
  </si>
  <si>
    <t>Total Repairs and Maintenance Expenditure</t>
  </si>
  <si>
    <t>3. Expenditure includes repairs &amp; maintenance</t>
  </si>
  <si>
    <t>1. Must reconcile with Budgeted Capital Expenditure</t>
  </si>
  <si>
    <t>2. Refer municipal budget requirements</t>
  </si>
  <si>
    <t>3. Adjusted programs/projects only</t>
  </si>
  <si>
    <t>List all capital projects grouped by Vote</t>
  </si>
  <si>
    <t>IDP Goal Code 2</t>
  </si>
  <si>
    <t>Furniture and Fittings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</si>
</sst>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9" formatCode="_ * #,##0_ ;_ * \-#,##0_ ;_ * &quot;-&quot;??_ ;_ @_ "/>
    <numFmt numFmtId="180" formatCode="_ * #,##0.0_ ;_ * \-#,##0.0_ ;_ * &quot;-&quot;??_ ;_ @_ "/>
    <numFmt numFmtId="182" formatCode="0.0%"/>
    <numFmt numFmtId="183" formatCode="#,###,;\(#,###,\)"/>
    <numFmt numFmtId="193" formatCode="_(* #,##0,_);_(* \(#,##0,\);_(* &quot;–&quot;?_);_(@_)"/>
  </numFmts>
  <fonts count="38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rgb="FFFFFF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6" applyNumberFormat="0" applyFill="0" applyAlignment="0" applyProtection="0"/>
    <xf numFmtId="0" fontId="31" fillId="22" borderId="0" applyNumberFormat="0" applyBorder="0" applyAlignment="0" applyProtection="0"/>
    <xf numFmtId="0" fontId="17" fillId="0" borderId="0"/>
    <xf numFmtId="0" fontId="1" fillId="23" borderId="7" applyNumberFormat="0" applyFont="0" applyAlignment="0" applyProtection="0"/>
    <xf numFmtId="0" fontId="32" fillId="20" borderId="8" applyNumberFormat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</cellStyleXfs>
  <cellXfs count="469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4" fillId="24" borderId="1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7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/>
    </xf>
    <xf numFmtId="0" fontId="10" fillId="0" borderId="11" xfId="0" applyFont="1" applyBorder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11" xfId="0" applyFont="1" applyBorder="1" applyAlignment="1">
      <alignment horizontal="left" indent="1"/>
    </xf>
    <xf numFmtId="0" fontId="7" fillId="0" borderId="11" xfId="0" applyFont="1" applyBorder="1"/>
    <xf numFmtId="193" fontId="7" fillId="0" borderId="0" xfId="0" applyNumberFormat="1" applyFont="1" applyBorder="1"/>
    <xf numFmtId="193" fontId="7" fillId="0" borderId="21" xfId="0" applyNumberFormat="1" applyFont="1" applyBorder="1"/>
    <xf numFmtId="193" fontId="7" fillId="0" borderId="22" xfId="0" applyNumberFormat="1" applyFont="1" applyBorder="1"/>
    <xf numFmtId="193" fontId="8" fillId="0" borderId="23" xfId="0" applyNumberFormat="1" applyFont="1" applyBorder="1"/>
    <xf numFmtId="193" fontId="8" fillId="0" borderId="0" xfId="0" applyNumberFormat="1" applyFont="1" applyBorder="1"/>
    <xf numFmtId="193" fontId="8" fillId="0" borderId="21" xfId="0" applyNumberFormat="1" applyFont="1" applyBorder="1"/>
    <xf numFmtId="193" fontId="8" fillId="0" borderId="22" xfId="0" applyNumberFormat="1" applyFont="1" applyBorder="1"/>
    <xf numFmtId="0" fontId="8" fillId="0" borderId="24" xfId="0" applyFont="1" applyBorder="1"/>
    <xf numFmtId="193" fontId="8" fillId="0" borderId="25" xfId="0" applyNumberFormat="1" applyFont="1" applyBorder="1"/>
    <xf numFmtId="193" fontId="8" fillId="0" borderId="26" xfId="0" applyNumberFormat="1" applyFont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1" fillId="0" borderId="0" xfId="0" applyFont="1" applyFill="1" applyBorder="1"/>
    <xf numFmtId="0" fontId="11" fillId="0" borderId="0" xfId="0" quotePrefix="1" applyFont="1" applyBorder="1"/>
    <xf numFmtId="0" fontId="8" fillId="0" borderId="0" xfId="0" applyFont="1" applyBorder="1"/>
    <xf numFmtId="183" fontId="8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179" fontId="7" fillId="0" borderId="0" xfId="28" applyNumberFormat="1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193" fontId="8" fillId="0" borderId="27" xfId="0" applyNumberFormat="1" applyFont="1" applyBorder="1"/>
    <xf numFmtId="193" fontId="8" fillId="0" borderId="28" xfId="0" applyNumberFormat="1" applyFont="1" applyBorder="1"/>
    <xf numFmtId="193" fontId="8" fillId="0" borderId="29" xfId="0" applyNumberFormat="1" applyFont="1" applyBorder="1"/>
    <xf numFmtId="193" fontId="8" fillId="0" borderId="30" xfId="0" applyNumberFormat="1" applyFont="1" applyBorder="1"/>
    <xf numFmtId="183" fontId="9" fillId="0" borderId="0" xfId="0" applyNumberFormat="1" applyFont="1" applyBorder="1"/>
    <xf numFmtId="0" fontId="11" fillId="0" borderId="0" xfId="0" applyFont="1" applyBorder="1"/>
    <xf numFmtId="0" fontId="9" fillId="0" borderId="0" xfId="0" applyFont="1" applyBorder="1"/>
    <xf numFmtId="0" fontId="11" fillId="0" borderId="11" xfId="0" applyFont="1" applyBorder="1" applyAlignment="1">
      <alignment horizontal="right"/>
    </xf>
    <xf numFmtId="179" fontId="11" fillId="0" borderId="0" xfId="28" applyNumberFormat="1" applyFont="1" applyBorder="1" applyAlignment="1">
      <alignment horizontal="right"/>
    </xf>
    <xf numFmtId="183" fontId="7" fillId="0" borderId="0" xfId="0" applyNumberFormat="1" applyFont="1" applyBorder="1"/>
    <xf numFmtId="0" fontId="7" fillId="0" borderId="11" xfId="0" applyFont="1" applyFill="1" applyBorder="1" applyAlignment="1">
      <alignment horizontal="left" indent="1"/>
    </xf>
    <xf numFmtId="0" fontId="8" fillId="0" borderId="11" xfId="0" applyFont="1" applyBorder="1"/>
    <xf numFmtId="0" fontId="8" fillId="0" borderId="31" xfId="0" applyFont="1" applyBorder="1"/>
    <xf numFmtId="0" fontId="7" fillId="0" borderId="0" xfId="0" applyFont="1" applyFill="1" applyBorder="1"/>
    <xf numFmtId="183" fontId="7" fillId="0" borderId="0" xfId="0" applyNumberFormat="1" applyFont="1" applyFill="1" applyBorder="1"/>
    <xf numFmtId="193" fontId="7" fillId="0" borderId="32" xfId="0" applyNumberFormat="1" applyFont="1" applyBorder="1"/>
    <xf numFmtId="193" fontId="7" fillId="0" borderId="23" xfId="0" applyNumberFormat="1" applyFont="1" applyBorder="1"/>
    <xf numFmtId="193" fontId="7" fillId="0" borderId="33" xfId="0" applyNumberFormat="1" applyFont="1" applyBorder="1"/>
    <xf numFmtId="193" fontId="7" fillId="0" borderId="19" xfId="0" applyNumberFormat="1" applyFont="1" applyBorder="1"/>
    <xf numFmtId="0" fontId="7" fillId="0" borderId="0" xfId="0" applyFont="1" applyFill="1" applyBorder="1" applyAlignment="1">
      <alignment horizontal="center"/>
    </xf>
    <xf numFmtId="193" fontId="7" fillId="0" borderId="29" xfId="0" applyNumberFormat="1" applyFont="1" applyBorder="1"/>
    <xf numFmtId="193" fontId="7" fillId="0" borderId="30" xfId="0" applyNumberFormat="1" applyFont="1" applyBorder="1"/>
    <xf numFmtId="0" fontId="11" fillId="0" borderId="0" xfId="0" applyFont="1" applyAlignment="1">
      <alignment horizontal="right"/>
    </xf>
    <xf numFmtId="183" fontId="7" fillId="0" borderId="0" xfId="28" applyNumberFormat="1" applyFont="1" applyBorder="1"/>
    <xf numFmtId="179" fontId="7" fillId="0" borderId="0" xfId="28" applyNumberFormat="1" applyFont="1" applyBorder="1"/>
    <xf numFmtId="0" fontId="7" fillId="0" borderId="34" xfId="0" applyFont="1" applyBorder="1" applyAlignment="1">
      <alignment horizontal="center"/>
    </xf>
    <xf numFmtId="0" fontId="13" fillId="0" borderId="0" xfId="0" applyFont="1" applyBorder="1"/>
    <xf numFmtId="0" fontId="11" fillId="0" borderId="0" xfId="0" applyFont="1"/>
    <xf numFmtId="0" fontId="7" fillId="0" borderId="11" xfId="0" applyFont="1" applyBorder="1" applyAlignment="1">
      <alignment horizontal="left" vertical="top" wrapText="1" indent="1"/>
    </xf>
    <xf numFmtId="0" fontId="10" fillId="0" borderId="11" xfId="0" applyFont="1" applyBorder="1" applyAlignment="1">
      <alignment horizontal="left" wrapText="1"/>
    </xf>
    <xf numFmtId="0" fontId="10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80" fontId="7" fillId="0" borderId="0" xfId="28" applyNumberFormat="1" applyFont="1" applyFill="1" applyBorder="1" applyAlignment="1">
      <alignment vertical="top" wrapText="1"/>
    </xf>
    <xf numFmtId="0" fontId="7" fillId="0" borderId="15" xfId="0" applyFont="1" applyBorder="1" applyAlignment="1">
      <alignment horizontal="left" indent="1"/>
    </xf>
    <xf numFmtId="0" fontId="7" fillId="0" borderId="0" xfId="0" quotePrefix="1" applyFont="1" applyBorder="1"/>
    <xf numFmtId="0" fontId="8" fillId="0" borderId="2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193" fontId="7" fillId="0" borderId="36" xfId="0" applyNumberFormat="1" applyFont="1" applyBorder="1"/>
    <xf numFmtId="193" fontId="7" fillId="0" borderId="37" xfId="0" applyNumberFormat="1" applyFont="1" applyBorder="1"/>
    <xf numFmtId="193" fontId="8" fillId="0" borderId="38" xfId="0" applyNumberFormat="1" applyFont="1" applyBorder="1"/>
    <xf numFmtId="193" fontId="8" fillId="0" borderId="39" xfId="0" applyNumberFormat="1" applyFont="1" applyBorder="1"/>
    <xf numFmtId="179" fontId="11" fillId="0" borderId="0" xfId="28" applyNumberFormat="1" applyFont="1"/>
    <xf numFmtId="0" fontId="6" fillId="0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 vertical="top"/>
    </xf>
    <xf numFmtId="0" fontId="7" fillId="0" borderId="21" xfId="0" applyFont="1" applyBorder="1"/>
    <xf numFmtId="0" fontId="7" fillId="0" borderId="1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quotePrefix="1" applyFont="1"/>
    <xf numFmtId="0" fontId="7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/>
    </xf>
    <xf numFmtId="0" fontId="7" fillId="0" borderId="0" xfId="0" quotePrefix="1" applyFont="1" applyBorder="1" applyAlignment="1">
      <alignment horizontal="left" wrapText="1"/>
    </xf>
    <xf numFmtId="0" fontId="7" fillId="0" borderId="34" xfId="0" applyFont="1" applyBorder="1" applyAlignment="1">
      <alignment horizontal="left" vertical="top" wrapText="1"/>
    </xf>
    <xf numFmtId="0" fontId="8" fillId="0" borderId="0" xfId="0" applyFont="1"/>
    <xf numFmtId="0" fontId="7" fillId="0" borderId="34" xfId="0" applyFont="1" applyFill="1" applyBorder="1" applyAlignment="1">
      <alignment horizontal="center" vertical="center"/>
    </xf>
    <xf numFmtId="193" fontId="7" fillId="0" borderId="40" xfId="0" applyNumberFormat="1" applyFont="1" applyBorder="1"/>
    <xf numFmtId="193" fontId="8" fillId="0" borderId="37" xfId="0" applyNumberFormat="1" applyFont="1" applyBorder="1"/>
    <xf numFmtId="193" fontId="7" fillId="0" borderId="39" xfId="0" applyNumberFormat="1" applyFont="1" applyBorder="1"/>
    <xf numFmtId="9" fontId="8" fillId="0" borderId="23" xfId="41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18" xfId="0" applyFont="1" applyFill="1" applyBorder="1" applyAlignment="1">
      <alignment horizontal="centerContinuous" vertical="center" wrapText="1"/>
    </xf>
    <xf numFmtId="0" fontId="8" fillId="0" borderId="35" xfId="0" applyFont="1" applyFill="1" applyBorder="1" applyAlignment="1">
      <alignment horizontal="centerContinuous" vertical="center" wrapText="1"/>
    </xf>
    <xf numFmtId="0" fontId="8" fillId="0" borderId="41" xfId="0" applyFont="1" applyFill="1" applyBorder="1" applyAlignment="1">
      <alignment horizontal="centerContinuous" vertical="center" wrapText="1"/>
    </xf>
    <xf numFmtId="0" fontId="7" fillId="0" borderId="42" xfId="0" applyFont="1" applyBorder="1" applyAlignment="1">
      <alignment horizontal="center"/>
    </xf>
    <xf numFmtId="193" fontId="8" fillId="0" borderId="40" xfId="0" applyNumberFormat="1" applyFont="1" applyBorder="1"/>
    <xf numFmtId="193" fontId="8" fillId="0" borderId="43" xfId="0" applyNumberFormat="1" applyFont="1" applyBorder="1"/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left" indent="1"/>
    </xf>
    <xf numFmtId="0" fontId="7" fillId="0" borderId="46" xfId="0" applyFont="1" applyBorder="1" applyAlignment="1">
      <alignment horizontal="center"/>
    </xf>
    <xf numFmtId="0" fontId="8" fillId="0" borderId="11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/>
    </xf>
    <xf numFmtId="193" fontId="8" fillId="0" borderId="22" xfId="0" applyNumberFormat="1" applyFont="1" applyBorder="1" applyAlignment="1">
      <alignment vertical="top"/>
    </xf>
    <xf numFmtId="193" fontId="8" fillId="0" borderId="21" xfId="0" applyNumberFormat="1" applyFont="1" applyBorder="1" applyAlignment="1">
      <alignment vertical="top"/>
    </xf>
    <xf numFmtId="193" fontId="8" fillId="0" borderId="37" xfId="0" applyNumberFormat="1" applyFont="1" applyBorder="1" applyAlignment="1">
      <alignment vertical="top"/>
    </xf>
    <xf numFmtId="193" fontId="8" fillId="0" borderId="47" xfId="0" applyNumberFormat="1" applyFont="1" applyBorder="1"/>
    <xf numFmtId="0" fontId="7" fillId="0" borderId="15" xfId="0" applyFont="1" applyBorder="1" applyAlignment="1">
      <alignment horizontal="left" vertical="top" wrapText="1" indent="1"/>
    </xf>
    <xf numFmtId="0" fontId="7" fillId="0" borderId="37" xfId="0" applyFont="1" applyBorder="1"/>
    <xf numFmtId="0" fontId="8" fillId="0" borderId="45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193" fontId="8" fillId="0" borderId="48" xfId="0" applyNumberFormat="1" applyFont="1" applyBorder="1"/>
    <xf numFmtId="0" fontId="7" fillId="0" borderId="2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9" fontId="7" fillId="0" borderId="32" xfId="41" applyFont="1" applyFill="1" applyBorder="1" applyAlignment="1">
      <alignment horizontal="center" vertical="center"/>
    </xf>
    <xf numFmtId="9" fontId="7" fillId="0" borderId="29" xfId="41" applyFont="1" applyFill="1" applyBorder="1" applyAlignment="1">
      <alignment horizontal="center" vertical="center"/>
    </xf>
    <xf numFmtId="0" fontId="9" fillId="0" borderId="0" xfId="0" applyFont="1" applyBorder="1" applyAlignment="1"/>
    <xf numFmtId="183" fontId="9" fillId="0" borderId="0" xfId="0" applyNumberFormat="1" applyFont="1" applyBorder="1" applyAlignment="1"/>
    <xf numFmtId="9" fontId="7" fillId="0" borderId="21" xfId="4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Continuous" vertical="center" wrapText="1"/>
    </xf>
    <xf numFmtId="0" fontId="8" fillId="0" borderId="19" xfId="0" applyFont="1" applyFill="1" applyBorder="1" applyAlignment="1">
      <alignment horizontal="centerContinuous" vertical="center" wrapText="1"/>
    </xf>
    <xf numFmtId="0" fontId="8" fillId="0" borderId="36" xfId="0" applyFont="1" applyFill="1" applyBorder="1" applyAlignment="1">
      <alignment horizontal="centerContinuous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center" vertical="top" wrapText="1"/>
    </xf>
    <xf numFmtId="0" fontId="8" fillId="0" borderId="50" xfId="0" applyFont="1" applyFill="1" applyBorder="1" applyAlignment="1">
      <alignment horizontal="center" vertical="top" wrapText="1"/>
    </xf>
    <xf numFmtId="0" fontId="8" fillId="0" borderId="51" xfId="0" applyFont="1" applyFill="1" applyBorder="1" applyAlignment="1">
      <alignment horizontal="center" vertical="top" wrapText="1"/>
    </xf>
    <xf numFmtId="0" fontId="8" fillId="0" borderId="46" xfId="0" applyFont="1" applyFill="1" applyBorder="1" applyAlignment="1">
      <alignment horizontal="left"/>
    </xf>
    <xf numFmtId="9" fontId="8" fillId="0" borderId="32" xfId="41" applyFont="1" applyFill="1" applyBorder="1" applyAlignment="1">
      <alignment horizontal="center" vertical="center" wrapText="1"/>
    </xf>
    <xf numFmtId="180" fontId="7" fillId="0" borderId="0" xfId="28" applyNumberFormat="1" applyFont="1" applyBorder="1" applyAlignment="1">
      <alignment vertical="top" wrapText="1"/>
    </xf>
    <xf numFmtId="9" fontId="8" fillId="0" borderId="50" xfId="41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9" fontId="8" fillId="0" borderId="28" xfId="41" applyFont="1" applyFill="1" applyBorder="1" applyAlignment="1">
      <alignment horizontal="center" vertical="center" wrapText="1"/>
    </xf>
    <xf numFmtId="9" fontId="8" fillId="0" borderId="48" xfId="41" applyFont="1" applyFill="1" applyBorder="1" applyAlignment="1">
      <alignment horizontal="center" vertical="center" wrapText="1"/>
    </xf>
    <xf numFmtId="9" fontId="8" fillId="0" borderId="27" xfId="41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9" fontId="8" fillId="0" borderId="52" xfId="4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0" xfId="0" applyFont="1" applyBorder="1" applyAlignment="1"/>
    <xf numFmtId="0" fontId="8" fillId="0" borderId="45" xfId="0" applyFont="1" applyFill="1" applyBorder="1" applyAlignment="1">
      <alignment horizontal="left" wrapText="1"/>
    </xf>
    <xf numFmtId="0" fontId="7" fillId="0" borderId="46" xfId="0" applyFont="1" applyBorder="1" applyAlignment="1">
      <alignment horizontal="center" wrapText="1"/>
    </xf>
    <xf numFmtId="0" fontId="12" fillId="0" borderId="0" xfId="0" applyFont="1" applyFill="1" applyBorder="1"/>
    <xf numFmtId="0" fontId="7" fillId="0" borderId="13" xfId="0" applyFont="1" applyBorder="1" applyAlignment="1">
      <alignment horizontal="left" vertical="top" wrapText="1"/>
    </xf>
    <xf numFmtId="9" fontId="8" fillId="0" borderId="39" xfId="4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193" fontId="8" fillId="0" borderId="53" xfId="0" applyNumberFormat="1" applyFont="1" applyBorder="1"/>
    <xf numFmtId="0" fontId="10" fillId="0" borderId="0" xfId="0" applyFont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/>
    </xf>
    <xf numFmtId="183" fontId="8" fillId="0" borderId="0" xfId="0" applyNumberFormat="1" applyFont="1"/>
    <xf numFmtId="0" fontId="8" fillId="0" borderId="54" xfId="0" applyFont="1" applyFill="1" applyBorder="1"/>
    <xf numFmtId="0" fontId="11" fillId="0" borderId="36" xfId="0" applyFont="1" applyFill="1" applyBorder="1" applyAlignment="1">
      <alignment horizontal="center"/>
    </xf>
    <xf numFmtId="9" fontId="7" fillId="0" borderId="50" xfId="41" applyFont="1" applyFill="1" applyBorder="1" applyAlignment="1">
      <alignment horizontal="center" vertical="center"/>
    </xf>
    <xf numFmtId="9" fontId="7" fillId="0" borderId="40" xfId="41" applyFont="1" applyFill="1" applyBorder="1" applyAlignment="1">
      <alignment horizontal="center" vertical="center"/>
    </xf>
    <xf numFmtId="9" fontId="7" fillId="0" borderId="37" xfId="41" applyFont="1" applyFill="1" applyBorder="1" applyAlignment="1">
      <alignment horizontal="center" vertical="center"/>
    </xf>
    <xf numFmtId="0" fontId="10" fillId="0" borderId="55" xfId="0" applyFont="1" applyFill="1" applyBorder="1"/>
    <xf numFmtId="0" fontId="7" fillId="0" borderId="22" xfId="0" applyFont="1" applyFill="1" applyBorder="1" applyAlignment="1">
      <alignment horizontal="left" indent="1"/>
    </xf>
    <xf numFmtId="0" fontId="8" fillId="0" borderId="22" xfId="0" applyFont="1" applyFill="1" applyBorder="1"/>
    <xf numFmtId="0" fontId="7" fillId="0" borderId="30" xfId="0" applyFont="1" applyFill="1" applyBorder="1"/>
    <xf numFmtId="0" fontId="10" fillId="0" borderId="20" xfId="0" applyFont="1" applyFill="1" applyBorder="1"/>
    <xf numFmtId="0" fontId="8" fillId="0" borderId="30" xfId="0" applyFont="1" applyFill="1" applyBorder="1"/>
    <xf numFmtId="0" fontId="10" fillId="0" borderId="22" xfId="0" applyFont="1" applyFill="1" applyBorder="1"/>
    <xf numFmtId="0" fontId="7" fillId="0" borderId="32" xfId="0" applyFont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 wrapText="1"/>
    </xf>
    <xf numFmtId="9" fontId="8" fillId="0" borderId="25" xfId="41" applyFont="1" applyFill="1" applyBorder="1" applyAlignment="1">
      <alignment horizontal="center" vertical="center" wrapText="1"/>
    </xf>
    <xf numFmtId="9" fontId="8" fillId="0" borderId="43" xfId="4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8" fillId="0" borderId="19" xfId="28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4" fillId="0" borderId="0" xfId="0" applyFont="1"/>
    <xf numFmtId="0" fontId="14" fillId="25" borderId="54" xfId="0" applyFont="1" applyFill="1" applyBorder="1"/>
    <xf numFmtId="0" fontId="14" fillId="25" borderId="56" xfId="0" applyFont="1" applyFill="1" applyBorder="1" applyAlignment="1">
      <alignment horizontal="left"/>
    </xf>
    <xf numFmtId="0" fontId="14" fillId="25" borderId="54" xfId="0" applyFont="1" applyFill="1" applyBorder="1" applyAlignment="1">
      <alignment horizontal="left"/>
    </xf>
    <xf numFmtId="0" fontId="4" fillId="26" borderId="0" xfId="0" applyFont="1" applyFill="1"/>
    <xf numFmtId="0" fontId="2" fillId="0" borderId="10" xfId="0" applyFont="1" applyBorder="1"/>
    <xf numFmtId="0" fontId="15" fillId="0" borderId="0" xfId="0" applyFont="1"/>
    <xf numFmtId="0" fontId="2" fillId="0" borderId="15" xfId="0" applyFont="1" applyBorder="1"/>
    <xf numFmtId="0" fontId="2" fillId="0" borderId="34" xfId="0" applyFont="1" applyBorder="1"/>
    <xf numFmtId="0" fontId="16" fillId="0" borderId="0" xfId="0" applyFont="1"/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9" fontId="7" fillId="0" borderId="27" xfId="41" applyFont="1" applyFill="1" applyBorder="1" applyAlignment="1">
      <alignment horizontal="center" vertical="center"/>
    </xf>
    <xf numFmtId="0" fontId="2" fillId="27" borderId="54" xfId="0" applyFont="1" applyFill="1" applyBorder="1" applyAlignment="1">
      <alignment horizontal="center"/>
    </xf>
    <xf numFmtId="0" fontId="2" fillId="27" borderId="56" xfId="0" applyFont="1" applyFill="1" applyBorder="1"/>
    <xf numFmtId="0" fontId="2" fillId="27" borderId="57" xfId="0" applyFont="1" applyFill="1" applyBorder="1" applyAlignment="1">
      <alignment horizontal="center"/>
    </xf>
    <xf numFmtId="0" fontId="2" fillId="27" borderId="15" xfId="0" applyFont="1" applyFill="1" applyBorder="1" applyAlignment="1">
      <alignment horizontal="center"/>
    </xf>
    <xf numFmtId="0" fontId="2" fillId="27" borderId="13" xfId="0" applyFont="1" applyFill="1" applyBorder="1"/>
    <xf numFmtId="0" fontId="2" fillId="27" borderId="16" xfId="0" applyFont="1" applyFill="1" applyBorder="1" applyAlignment="1">
      <alignment horizontal="center"/>
    </xf>
    <xf numFmtId="9" fontId="8" fillId="0" borderId="52" xfId="41" applyFont="1" applyFill="1" applyBorder="1" applyAlignment="1">
      <alignment horizontal="centerContinuous" vertical="center" wrapText="1"/>
    </xf>
    <xf numFmtId="9" fontId="8" fillId="0" borderId="32" xfId="41" applyFont="1" applyFill="1" applyBorder="1" applyAlignment="1">
      <alignment horizontal="centerContinuous" vertical="center" wrapText="1"/>
    </xf>
    <xf numFmtId="9" fontId="8" fillId="0" borderId="50" xfId="41" applyFont="1" applyFill="1" applyBorder="1" applyAlignment="1">
      <alignment horizontal="centerContinuous" vertical="center" wrapText="1"/>
    </xf>
    <xf numFmtId="193" fontId="7" fillId="28" borderId="22" xfId="0" applyNumberFormat="1" applyFont="1" applyFill="1" applyBorder="1" applyProtection="1">
      <protection locked="0"/>
    </xf>
    <xf numFmtId="193" fontId="7" fillId="28" borderId="21" xfId="0" applyNumberFormat="1" applyFont="1" applyFill="1" applyBorder="1" applyProtection="1">
      <protection locked="0"/>
    </xf>
    <xf numFmtId="193" fontId="7" fillId="28" borderId="37" xfId="0" applyNumberFormat="1" applyFont="1" applyFill="1" applyBorder="1" applyProtection="1">
      <protection locked="0"/>
    </xf>
    <xf numFmtId="193" fontId="7" fillId="28" borderId="51" xfId="0" applyNumberFormat="1" applyFont="1" applyFill="1" applyBorder="1" applyProtection="1">
      <protection locked="0"/>
    </xf>
    <xf numFmtId="193" fontId="7" fillId="28" borderId="32" xfId="0" applyNumberFormat="1" applyFont="1" applyFill="1" applyBorder="1" applyProtection="1">
      <protection locked="0"/>
    </xf>
    <xf numFmtId="193" fontId="7" fillId="28" borderId="50" xfId="0" applyNumberFormat="1" applyFont="1" applyFill="1" applyBorder="1" applyProtection="1">
      <protection locked="0"/>
    </xf>
    <xf numFmtId="0" fontId="11" fillId="28" borderId="11" xfId="0" applyFont="1" applyFill="1" applyBorder="1" applyAlignment="1" applyProtection="1">
      <alignment horizontal="left" indent="1"/>
      <protection locked="0"/>
    </xf>
    <xf numFmtId="0" fontId="7" fillId="28" borderId="11" xfId="0" applyFont="1" applyFill="1" applyBorder="1" applyProtection="1">
      <protection locked="0"/>
    </xf>
    <xf numFmtId="0" fontId="7" fillId="28" borderId="11" xfId="0" applyFont="1" applyFill="1" applyBorder="1" applyAlignment="1" applyProtection="1">
      <alignment horizontal="left" indent="1"/>
      <protection locked="0"/>
    </xf>
    <xf numFmtId="0" fontId="8" fillId="28" borderId="11" xfId="0" applyFont="1" applyFill="1" applyBorder="1" applyAlignment="1" applyProtection="1">
      <alignment horizontal="left" vertical="center"/>
      <protection locked="0"/>
    </xf>
    <xf numFmtId="0" fontId="7" fillId="28" borderId="10" xfId="0" applyFont="1" applyFill="1" applyBorder="1" applyAlignment="1" applyProtection="1">
      <alignment horizontal="center" vertical="center"/>
      <protection locked="0"/>
    </xf>
    <xf numFmtId="0" fontId="8" fillId="28" borderId="22" xfId="0" applyFont="1" applyFill="1" applyBorder="1" applyAlignment="1" applyProtection="1">
      <alignment horizontal="center" vertical="center" wrapText="1"/>
      <protection locked="0"/>
    </xf>
    <xf numFmtId="0" fontId="8" fillId="28" borderId="21" xfId="0" applyFont="1" applyFill="1" applyBorder="1" applyAlignment="1" applyProtection="1">
      <alignment horizontal="center" vertical="center" wrapText="1"/>
      <protection locked="0"/>
    </xf>
    <xf numFmtId="0" fontId="7" fillId="28" borderId="11" xfId="0" applyFont="1" applyFill="1" applyBorder="1" applyAlignment="1" applyProtection="1">
      <alignment horizontal="left" vertical="top" wrapText="1"/>
      <protection locked="0"/>
    </xf>
    <xf numFmtId="0" fontId="7" fillId="28" borderId="10" xfId="0" applyFont="1" applyFill="1" applyBorder="1" applyAlignment="1" applyProtection="1">
      <alignment horizontal="left" vertical="top" wrapText="1"/>
      <protection locked="0"/>
    </xf>
    <xf numFmtId="0" fontId="7" fillId="28" borderId="11" xfId="0" applyFont="1" applyFill="1" applyBorder="1" applyAlignment="1" applyProtection="1">
      <alignment horizontal="left" wrapText="1"/>
      <protection locked="0"/>
    </xf>
    <xf numFmtId="0" fontId="7" fillId="28" borderId="10" xfId="0" applyFont="1" applyFill="1" applyBorder="1" applyAlignment="1" applyProtection="1">
      <alignment horizontal="left" wrapText="1"/>
      <protection locked="0"/>
    </xf>
    <xf numFmtId="0" fontId="10" fillId="28" borderId="10" xfId="0" applyFont="1" applyFill="1" applyBorder="1" applyAlignment="1" applyProtection="1">
      <alignment horizontal="left" wrapText="1"/>
      <protection locked="0"/>
    </xf>
    <xf numFmtId="0" fontId="7" fillId="28" borderId="15" xfId="0" applyFont="1" applyFill="1" applyBorder="1" applyAlignment="1" applyProtection="1">
      <alignment horizontal="left" wrapText="1"/>
      <protection locked="0"/>
    </xf>
    <xf numFmtId="0" fontId="10" fillId="28" borderId="34" xfId="0" applyFont="1" applyFill="1" applyBorder="1" applyAlignment="1" applyProtection="1">
      <alignment horizontal="left" wrapText="1"/>
      <protection locked="0"/>
    </xf>
    <xf numFmtId="193" fontId="7" fillId="28" borderId="30" xfId="0" applyNumberFormat="1" applyFont="1" applyFill="1" applyBorder="1" applyProtection="1">
      <protection locked="0"/>
    </xf>
    <xf numFmtId="193" fontId="7" fillId="28" borderId="29" xfId="0" applyNumberFormat="1" applyFont="1" applyFill="1" applyBorder="1" applyProtection="1">
      <protection locked="0"/>
    </xf>
    <xf numFmtId="9" fontId="8" fillId="28" borderId="21" xfId="41" applyFont="1" applyFill="1" applyBorder="1" applyAlignment="1" applyProtection="1">
      <alignment horizontal="center" vertical="center" wrapText="1"/>
      <protection locked="0"/>
    </xf>
    <xf numFmtId="0" fontId="8" fillId="28" borderId="37" xfId="0" applyFont="1" applyFill="1" applyBorder="1" applyAlignment="1" applyProtection="1">
      <alignment horizontal="center" vertical="center" wrapText="1"/>
      <protection locked="0"/>
    </xf>
    <xf numFmtId="193" fontId="7" fillId="28" borderId="40" xfId="0" applyNumberFormat="1" applyFont="1" applyFill="1" applyBorder="1" applyProtection="1">
      <protection locked="0"/>
    </xf>
    <xf numFmtId="0" fontId="7" fillId="28" borderId="21" xfId="0" applyFont="1" applyFill="1" applyBorder="1" applyProtection="1">
      <protection locked="0"/>
    </xf>
    <xf numFmtId="0" fontId="7" fillId="28" borderId="37" xfId="0" applyFont="1" applyFill="1" applyBorder="1" applyProtection="1">
      <protection locked="0"/>
    </xf>
    <xf numFmtId="193" fontId="7" fillId="28" borderId="58" xfId="0" applyNumberFormat="1" applyFont="1" applyFill="1" applyBorder="1" applyProtection="1">
      <protection locked="0"/>
    </xf>
    <xf numFmtId="193" fontId="7" fillId="28" borderId="33" xfId="0" applyNumberFormat="1" applyFont="1" applyFill="1" applyBorder="1" applyProtection="1">
      <protection locked="0"/>
    </xf>
    <xf numFmtId="193" fontId="7" fillId="0" borderId="21" xfId="0" applyNumberFormat="1" applyFont="1" applyFill="1" applyBorder="1"/>
    <xf numFmtId="0" fontId="11" fillId="28" borderId="11" xfId="0" applyFont="1" applyFill="1" applyBorder="1" applyProtection="1">
      <protection locked="0"/>
    </xf>
    <xf numFmtId="0" fontId="8" fillId="28" borderId="22" xfId="0" applyFont="1" applyFill="1" applyBorder="1" applyAlignment="1" applyProtection="1">
      <alignment horizontal="center"/>
      <protection locked="0"/>
    </xf>
    <xf numFmtId="0" fontId="8" fillId="28" borderId="21" xfId="28" applyNumberFormat="1" applyFont="1" applyFill="1" applyBorder="1" applyAlignment="1" applyProtection="1">
      <alignment horizontal="center"/>
      <protection locked="0"/>
    </xf>
    <xf numFmtId="0" fontId="11" fillId="28" borderId="21" xfId="0" applyFont="1" applyFill="1" applyBorder="1" applyAlignment="1" applyProtection="1">
      <alignment horizontal="center"/>
      <protection locked="0"/>
    </xf>
    <xf numFmtId="0" fontId="11" fillId="28" borderId="37" xfId="0" applyFont="1" applyFill="1" applyBorder="1" applyAlignment="1" applyProtection="1">
      <alignment horizontal="center"/>
      <protection locked="0"/>
    </xf>
    <xf numFmtId="0" fontId="8" fillId="28" borderId="10" xfId="0" applyFont="1" applyFill="1" applyBorder="1" applyAlignment="1" applyProtection="1">
      <alignment horizontal="center"/>
      <protection locked="0"/>
    </xf>
    <xf numFmtId="0" fontId="8" fillId="28" borderId="21" xfId="0" applyFont="1" applyFill="1" applyBorder="1" applyAlignment="1" applyProtection="1">
      <alignment horizontal="center"/>
      <protection locked="0"/>
    </xf>
    <xf numFmtId="0" fontId="8" fillId="28" borderId="37" xfId="0" applyFont="1" applyFill="1" applyBorder="1" applyAlignment="1" applyProtection="1">
      <alignment horizontal="center"/>
      <protection locked="0"/>
    </xf>
    <xf numFmtId="0" fontId="8" fillId="28" borderId="11" xfId="0" applyFont="1" applyFill="1" applyBorder="1" applyAlignment="1" applyProtection="1">
      <alignment horizontal="left"/>
      <protection locked="0"/>
    </xf>
    <xf numFmtId="183" fontId="7" fillId="28" borderId="10" xfId="0" applyNumberFormat="1" applyFont="1" applyFill="1" applyBorder="1" applyProtection="1">
      <protection locked="0"/>
    </xf>
    <xf numFmtId="183" fontId="7" fillId="28" borderId="22" xfId="0" applyNumberFormat="1" applyFont="1" applyFill="1" applyBorder="1" applyProtection="1">
      <protection locked="0"/>
    </xf>
    <xf numFmtId="183" fontId="7" fillId="28" borderId="21" xfId="0" applyNumberFormat="1" applyFont="1" applyFill="1" applyBorder="1" applyProtection="1">
      <protection locked="0"/>
    </xf>
    <xf numFmtId="183" fontId="7" fillId="28" borderId="37" xfId="0" applyNumberFormat="1" applyFont="1" applyFill="1" applyBorder="1" applyProtection="1">
      <protection locked="0"/>
    </xf>
    <xf numFmtId="0" fontId="7" fillId="28" borderId="21" xfId="28" applyNumberFormat="1" applyFont="1" applyFill="1" applyBorder="1" applyAlignment="1" applyProtection="1">
      <alignment horizontal="center"/>
      <protection locked="0"/>
    </xf>
    <xf numFmtId="0" fontId="8" fillId="28" borderId="11" xfId="0" applyFont="1" applyFill="1" applyBorder="1" applyProtection="1">
      <protection locked="0"/>
    </xf>
    <xf numFmtId="0" fontId="7" fillId="0" borderId="10" xfId="0" applyFont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193" fontId="7" fillId="0" borderId="21" xfId="0" applyNumberFormat="1" applyFont="1" applyFill="1" applyBorder="1" applyProtection="1">
      <protection locked="0"/>
    </xf>
    <xf numFmtId="193" fontId="7" fillId="28" borderId="20" xfId="0" applyNumberFormat="1" applyFont="1" applyFill="1" applyBorder="1" applyProtection="1">
      <protection locked="0"/>
    </xf>
    <xf numFmtId="193" fontId="7" fillId="28" borderId="19" xfId="0" applyNumberFormat="1" applyFont="1" applyFill="1" applyBorder="1" applyProtection="1">
      <protection locked="0"/>
    </xf>
    <xf numFmtId="193" fontId="7" fillId="28" borderId="36" xfId="0" applyNumberFormat="1" applyFont="1" applyFill="1" applyBorder="1" applyProtection="1">
      <protection locked="0"/>
    </xf>
    <xf numFmtId="193" fontId="7" fillId="0" borderId="37" xfId="0" applyNumberFormat="1" applyFont="1" applyFill="1" applyBorder="1" applyProtection="1">
      <protection locked="0"/>
    </xf>
    <xf numFmtId="0" fontId="7" fillId="0" borderId="10" xfId="0" applyNumberFormat="1" applyFont="1" applyBorder="1" applyAlignment="1">
      <alignment horizontal="left" indent="1"/>
    </xf>
    <xf numFmtId="0" fontId="8" fillId="0" borderId="10" xfId="0" applyNumberFormat="1" applyFont="1" applyBorder="1" applyAlignment="1">
      <alignment wrapText="1"/>
    </xf>
    <xf numFmtId="0" fontId="7" fillId="0" borderId="46" xfId="0" applyFont="1" applyFill="1" applyBorder="1" applyAlignment="1">
      <alignment horizontal="left" indent="1"/>
    </xf>
    <xf numFmtId="0" fontId="8" fillId="0" borderId="59" xfId="0" applyFont="1" applyFill="1" applyBorder="1"/>
    <xf numFmtId="193" fontId="8" fillId="0" borderId="55" xfId="0" applyNumberFormat="1" applyFont="1" applyBorder="1" applyAlignment="1">
      <alignment vertical="top"/>
    </xf>
    <xf numFmtId="193" fontId="8" fillId="0" borderId="23" xfId="0" applyNumberFormat="1" applyFont="1" applyBorder="1" applyAlignment="1">
      <alignment vertical="top"/>
    </xf>
    <xf numFmtId="193" fontId="8" fillId="0" borderId="39" xfId="0" applyNumberFormat="1" applyFont="1" applyBorder="1" applyAlignment="1">
      <alignment vertical="top"/>
    </xf>
    <xf numFmtId="0" fontId="9" fillId="0" borderId="22" xfId="0" applyFont="1" applyFill="1" applyBorder="1"/>
    <xf numFmtId="0" fontId="7" fillId="0" borderId="11" xfId="0" applyNumberFormat="1" applyFont="1" applyBorder="1" applyAlignment="1">
      <alignment horizontal="left" indent="1"/>
    </xf>
    <xf numFmtId="0" fontId="8" fillId="0" borderId="11" xfId="0" applyNumberFormat="1" applyFont="1" applyBorder="1" applyAlignment="1">
      <alignment horizontal="left" wrapText="1"/>
    </xf>
    <xf numFmtId="0" fontId="8" fillId="0" borderId="1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1" fillId="28" borderId="11" xfId="0" applyFont="1" applyFill="1" applyBorder="1" applyAlignment="1" applyProtection="1">
      <alignment horizontal="left" vertical="top" wrapText="1" indent="1"/>
      <protection locked="0"/>
    </xf>
    <xf numFmtId="0" fontId="11" fillId="28" borderId="11" xfId="0" applyFont="1" applyFill="1" applyBorder="1" applyAlignment="1" applyProtection="1">
      <alignment vertical="top" wrapText="1"/>
      <protection locked="0"/>
    </xf>
    <xf numFmtId="193" fontId="7" fillId="28" borderId="55" xfId="0" applyNumberFormat="1" applyFont="1" applyFill="1" applyBorder="1" applyProtection="1">
      <protection locked="0"/>
    </xf>
    <xf numFmtId="193" fontId="7" fillId="28" borderId="23" xfId="0" applyNumberFormat="1" applyFont="1" applyFill="1" applyBorder="1" applyProtection="1">
      <protection locked="0"/>
    </xf>
    <xf numFmtId="193" fontId="8" fillId="0" borderId="51" xfId="0" applyNumberFormat="1" applyFont="1" applyBorder="1"/>
    <xf numFmtId="193" fontId="8" fillId="0" borderId="32" xfId="0" applyNumberFormat="1" applyFont="1" applyBorder="1"/>
    <xf numFmtId="193" fontId="8" fillId="0" borderId="50" xfId="0" applyNumberFormat="1" applyFont="1" applyBorder="1"/>
    <xf numFmtId="193" fontId="7" fillId="0" borderId="23" xfId="0" applyNumberFormat="1" applyFont="1" applyFill="1" applyBorder="1"/>
    <xf numFmtId="193" fontId="7" fillId="0" borderId="27" xfId="0" applyNumberFormat="1" applyFont="1" applyFill="1" applyBorder="1"/>
    <xf numFmtId="0" fontId="8" fillId="0" borderId="11" xfId="0" applyFont="1" applyFill="1" applyBorder="1" applyAlignment="1">
      <alignment horizontal="left"/>
    </xf>
    <xf numFmtId="0" fontId="7" fillId="0" borderId="0" xfId="0" applyFont="1" applyFill="1"/>
    <xf numFmtId="193" fontId="7" fillId="0" borderId="22" xfId="0" applyNumberFormat="1" applyFont="1" applyFill="1" applyBorder="1" applyProtection="1">
      <protection locked="0"/>
    </xf>
    <xf numFmtId="0" fontId="7" fillId="0" borderId="11" xfId="0" applyFont="1" applyBorder="1" applyAlignment="1">
      <alignment horizontal="left" indent="2"/>
    </xf>
    <xf numFmtId="0" fontId="8" fillId="0" borderId="11" xfId="0" applyFont="1" applyBorder="1" applyAlignment="1">
      <alignment horizontal="left" indent="1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0" fillId="0" borderId="11" xfId="0" applyNumberFormat="1" applyFont="1" applyBorder="1"/>
    <xf numFmtId="0" fontId="11" fillId="0" borderId="11" xfId="0" applyNumberFormat="1" applyFont="1" applyBorder="1" applyAlignment="1">
      <alignment horizontal="left" indent="2"/>
    </xf>
    <xf numFmtId="0" fontId="7" fillId="0" borderId="11" xfId="0" applyNumberFormat="1" applyFont="1" applyFill="1" applyBorder="1" applyAlignment="1">
      <alignment horizontal="left" indent="1"/>
    </xf>
    <xf numFmtId="193" fontId="8" fillId="28" borderId="23" xfId="0" applyNumberFormat="1" applyFont="1" applyFill="1" applyBorder="1" applyProtection="1">
      <protection locked="0"/>
    </xf>
    <xf numFmtId="193" fontId="8" fillId="28" borderId="32" xfId="0" applyNumberFormat="1" applyFont="1" applyFill="1" applyBorder="1" applyProtection="1">
      <protection locked="0"/>
    </xf>
    <xf numFmtId="0" fontId="7" fillId="0" borderId="11" xfId="0" applyNumberFormat="1" applyFont="1" applyBorder="1"/>
    <xf numFmtId="0" fontId="11" fillId="0" borderId="11" xfId="0" applyNumberFormat="1" applyFont="1" applyBorder="1"/>
    <xf numFmtId="0" fontId="11" fillId="28" borderId="11" xfId="0" applyNumberFormat="1" applyFont="1" applyFill="1" applyBorder="1" applyAlignment="1" applyProtection="1">
      <alignment horizontal="left" indent="1"/>
      <protection locked="0"/>
    </xf>
    <xf numFmtId="0" fontId="7" fillId="28" borderId="11" xfId="0" applyNumberFormat="1" applyFont="1" applyFill="1" applyBorder="1" applyAlignment="1" applyProtection="1">
      <alignment horizontal="left" indent="1"/>
      <protection locked="0"/>
    </xf>
    <xf numFmtId="0" fontId="7" fillId="0" borderId="54" xfId="0" applyFont="1" applyBorder="1" applyAlignment="1">
      <alignment horizontal="center"/>
    </xf>
    <xf numFmtId="0" fontId="10" fillId="0" borderId="54" xfId="0" applyFont="1" applyBorder="1"/>
    <xf numFmtId="193" fontId="8" fillId="0" borderId="20" xfId="0" applyNumberFormat="1" applyFont="1" applyBorder="1"/>
    <xf numFmtId="193" fontId="8" fillId="0" borderId="19" xfId="0" applyNumberFormat="1" applyFont="1" applyBorder="1"/>
    <xf numFmtId="193" fontId="8" fillId="0" borderId="36" xfId="0" applyNumberFormat="1" applyFont="1" applyBorder="1"/>
    <xf numFmtId="0" fontId="7" fillId="0" borderId="11" xfId="0" applyFont="1" applyBorder="1" applyAlignment="1">
      <alignment horizontal="center"/>
    </xf>
    <xf numFmtId="0" fontId="7" fillId="0" borderId="11" xfId="0" applyNumberFormat="1" applyFont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193" fontId="8" fillId="28" borderId="55" xfId="0" applyNumberFormat="1" applyFont="1" applyFill="1" applyBorder="1" applyProtection="1">
      <protection locked="0"/>
    </xf>
    <xf numFmtId="193" fontId="8" fillId="28" borderId="51" xfId="0" applyNumberFormat="1" applyFont="1" applyFill="1" applyBorder="1" applyProtection="1">
      <protection locked="0"/>
    </xf>
    <xf numFmtId="0" fontId="7" fillId="0" borderId="24" xfId="0" applyFont="1" applyBorder="1" applyAlignment="1">
      <alignment horizontal="center"/>
    </xf>
    <xf numFmtId="0" fontId="8" fillId="0" borderId="30" xfId="0" applyFont="1" applyFill="1" applyBorder="1" applyAlignment="1">
      <alignment horizontal="left"/>
    </xf>
    <xf numFmtId="0" fontId="11" fillId="0" borderId="0" xfId="0" applyFont="1" applyBorder="1" applyProtection="1"/>
    <xf numFmtId="0" fontId="17" fillId="0" borderId="0" xfId="38"/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93" fontId="8" fillId="0" borderId="21" xfId="0" applyNumberFormat="1" applyFont="1" applyFill="1" applyBorder="1"/>
    <xf numFmtId="193" fontId="8" fillId="0" borderId="22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9" fontId="7" fillId="0" borderId="25" xfId="4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193" fontId="7" fillId="0" borderId="20" xfId="0" applyNumberFormat="1" applyFont="1" applyBorder="1"/>
    <xf numFmtId="193" fontId="8" fillId="0" borderId="37" xfId="0" applyNumberFormat="1" applyFont="1" applyFill="1" applyBorder="1"/>
    <xf numFmtId="193" fontId="8" fillId="28" borderId="39" xfId="0" applyNumberFormat="1" applyFont="1" applyFill="1" applyBorder="1" applyProtection="1">
      <protection locked="0"/>
    </xf>
    <xf numFmtId="193" fontId="8" fillId="28" borderId="50" xfId="0" applyNumberFormat="1" applyFont="1" applyFill="1" applyBorder="1" applyProtection="1">
      <protection locked="0"/>
    </xf>
    <xf numFmtId="193" fontId="7" fillId="28" borderId="39" xfId="0" applyNumberFormat="1" applyFont="1" applyFill="1" applyBorder="1" applyProtection="1">
      <protection locked="0"/>
    </xf>
    <xf numFmtId="193" fontId="8" fillId="0" borderId="25" xfId="0" applyNumberFormat="1" applyFont="1" applyFill="1" applyBorder="1"/>
    <xf numFmtId="193" fontId="8" fillId="0" borderId="19" xfId="0" applyNumberFormat="1" applyFont="1" applyFill="1" applyBorder="1"/>
    <xf numFmtId="193" fontId="8" fillId="0" borderId="27" xfId="0" applyNumberFormat="1" applyFont="1" applyBorder="1" applyAlignment="1">
      <alignment vertical="top"/>
    </xf>
    <xf numFmtId="193" fontId="8" fillId="0" borderId="38" xfId="0" applyNumberFormat="1" applyFont="1" applyBorder="1" applyAlignment="1">
      <alignment vertical="top"/>
    </xf>
    <xf numFmtId="193" fontId="8" fillId="0" borderId="28" xfId="0" applyNumberFormat="1" applyFont="1" applyBorder="1" applyAlignment="1">
      <alignment vertical="top"/>
    </xf>
    <xf numFmtId="0" fontId="9" fillId="0" borderId="22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193" fontId="7" fillId="0" borderId="55" xfId="0" applyNumberFormat="1" applyFont="1" applyFill="1" applyBorder="1" applyProtection="1"/>
    <xf numFmtId="193" fontId="7" fillId="0" borderId="23" xfId="0" applyNumberFormat="1" applyFont="1" applyFill="1" applyBorder="1" applyProtection="1"/>
    <xf numFmtId="193" fontId="7" fillId="0" borderId="39" xfId="0" applyNumberFormat="1" applyFont="1" applyFill="1" applyBorder="1" applyProtection="1"/>
    <xf numFmtId="193" fontId="7" fillId="0" borderId="28" xfId="0" applyNumberFormat="1" applyFont="1" applyFill="1" applyBorder="1" applyProtection="1"/>
    <xf numFmtId="193" fontId="7" fillId="0" borderId="27" xfId="0" applyNumberFormat="1" applyFont="1" applyFill="1" applyBorder="1" applyProtection="1"/>
    <xf numFmtId="193" fontId="7" fillId="0" borderId="38" xfId="0" applyNumberFormat="1" applyFont="1" applyFill="1" applyBorder="1" applyProtection="1"/>
    <xf numFmtId="0" fontId="8" fillId="0" borderId="11" xfId="0" applyFont="1" applyFill="1" applyBorder="1" applyAlignment="1" applyProtection="1">
      <alignment horizontal="left" indent="1"/>
    </xf>
    <xf numFmtId="0" fontId="7" fillId="0" borderId="11" xfId="0" applyFont="1" applyFill="1" applyBorder="1" applyAlignment="1" applyProtection="1">
      <alignment horizontal="left" vertical="top" wrapText="1" indent="1"/>
    </xf>
    <xf numFmtId="0" fontId="7" fillId="0" borderId="0" xfId="0" applyFont="1" applyFill="1" applyBorder="1" applyAlignment="1" applyProtection="1">
      <alignment horizontal="center" vertical="top" wrapText="1"/>
    </xf>
    <xf numFmtId="193" fontId="7" fillId="0" borderId="21" xfId="0" applyNumberFormat="1" applyFont="1" applyFill="1" applyBorder="1" applyProtection="1"/>
    <xf numFmtId="193" fontId="7" fillId="0" borderId="37" xfId="0" applyNumberFormat="1" applyFont="1" applyFill="1" applyBorder="1" applyProtection="1"/>
    <xf numFmtId="0" fontId="7" fillId="0" borderId="11" xfId="0" applyFont="1" applyBorder="1" applyAlignment="1" applyProtection="1">
      <alignment horizontal="left" indent="1"/>
    </xf>
    <xf numFmtId="193" fontId="7" fillId="0" borderId="22" xfId="0" applyNumberFormat="1" applyFont="1" applyFill="1" applyBorder="1" applyProtection="1"/>
    <xf numFmtId="193" fontId="8" fillId="0" borderId="22" xfId="0" applyNumberFormat="1" applyFont="1" applyBorder="1" applyProtection="1"/>
    <xf numFmtId="193" fontId="8" fillId="0" borderId="21" xfId="0" applyNumberFormat="1" applyFont="1" applyBorder="1" applyProtection="1"/>
    <xf numFmtId="193" fontId="8" fillId="0" borderId="21" xfId="0" applyNumberFormat="1" applyFont="1" applyFill="1" applyBorder="1" applyProtection="1"/>
    <xf numFmtId="193" fontId="8" fillId="0" borderId="37" xfId="0" applyNumberFormat="1" applyFont="1" applyBorder="1" applyProtection="1"/>
    <xf numFmtId="193" fontId="8" fillId="0" borderId="23" xfId="0" applyNumberFormat="1" applyFont="1" applyFill="1" applyBorder="1" applyProtection="1"/>
    <xf numFmtId="193" fontId="8" fillId="0" borderId="32" xfId="0" applyNumberFormat="1" applyFont="1" applyFill="1" applyBorder="1" applyProtection="1"/>
    <xf numFmtId="193" fontId="7" fillId="0" borderId="32" xfId="0" applyNumberFormat="1" applyFont="1" applyFill="1" applyBorder="1" applyProtection="1"/>
    <xf numFmtId="193" fontId="7" fillId="0" borderId="29" xfId="0" applyNumberFormat="1" applyFont="1" applyFill="1" applyBorder="1" applyProtection="1"/>
    <xf numFmtId="193" fontId="8" fillId="0" borderId="51" xfId="0" applyNumberFormat="1" applyFont="1" applyBorder="1" applyProtection="1"/>
    <xf numFmtId="193" fontId="8" fillId="0" borderId="32" xfId="0" applyNumberFormat="1" applyFont="1" applyBorder="1" applyProtection="1"/>
    <xf numFmtId="193" fontId="8" fillId="0" borderId="50" xfId="0" applyNumberFormat="1" applyFont="1" applyBorder="1" applyProtection="1"/>
    <xf numFmtId="17" fontId="2" fillId="28" borderId="56" xfId="0" applyNumberFormat="1" applyFont="1" applyFill="1" applyBorder="1" applyProtection="1">
      <protection locked="0"/>
    </xf>
    <xf numFmtId="0" fontId="2" fillId="28" borderId="56" xfId="0" applyFont="1" applyFill="1" applyBorder="1" applyProtection="1">
      <protection locked="0"/>
    </xf>
    <xf numFmtId="0" fontId="2" fillId="28" borderId="57" xfId="0" applyFont="1" applyFill="1" applyBorder="1" applyProtection="1">
      <protection locked="0"/>
    </xf>
    <xf numFmtId="0" fontId="2" fillId="28" borderId="0" xfId="0" quotePrefix="1" applyFont="1" applyFill="1" applyBorder="1" applyProtection="1">
      <protection locked="0"/>
    </xf>
    <xf numFmtId="0" fontId="2" fillId="28" borderId="0" xfId="0" applyFont="1" applyFill="1" applyBorder="1" applyProtection="1">
      <protection locked="0"/>
    </xf>
    <xf numFmtId="0" fontId="2" fillId="28" borderId="12" xfId="0" applyFont="1" applyFill="1" applyBorder="1" applyProtection="1">
      <protection locked="0"/>
    </xf>
    <xf numFmtId="193" fontId="7" fillId="28" borderId="22" xfId="0" applyNumberFormat="1" applyFont="1" applyFill="1" applyBorder="1"/>
    <xf numFmtId="193" fontId="7" fillId="28" borderId="21" xfId="0" applyNumberFormat="1" applyFont="1" applyFill="1" applyBorder="1"/>
    <xf numFmtId="193" fontId="7" fillId="28" borderId="37" xfId="0" applyNumberFormat="1" applyFont="1" applyFill="1" applyBorder="1"/>
    <xf numFmtId="193" fontId="7" fillId="28" borderId="33" xfId="0" applyNumberFormat="1" applyFont="1" applyFill="1" applyBorder="1"/>
    <xf numFmtId="0" fontId="8" fillId="0" borderId="10" xfId="0" applyNumberFormat="1" applyFont="1" applyBorder="1" applyAlignment="1">
      <alignment horizontal="left" wrapText="1"/>
    </xf>
    <xf numFmtId="0" fontId="7" fillId="0" borderId="10" xfId="0" applyFont="1" applyFill="1" applyBorder="1" applyAlignment="1">
      <alignment horizontal="left" indent="1"/>
    </xf>
    <xf numFmtId="0" fontId="7" fillId="0" borderId="10" xfId="0" applyNumberFormat="1" applyFont="1" applyBorder="1" applyAlignment="1">
      <alignment horizontal="left" vertical="top" indent="1"/>
    </xf>
    <xf numFmtId="0" fontId="36" fillId="0" borderId="0" xfId="0" applyFont="1"/>
    <xf numFmtId="0" fontId="36" fillId="0" borderId="10" xfId="0" applyFont="1" applyBorder="1" applyAlignment="1"/>
    <xf numFmtId="0" fontId="8" fillId="0" borderId="11" xfId="0" applyFont="1" applyFill="1" applyBorder="1" applyAlignment="1">
      <alignment horizontal="left" indent="1"/>
    </xf>
    <xf numFmtId="0" fontId="7" fillId="0" borderId="56" xfId="0" applyFont="1" applyBorder="1"/>
    <xf numFmtId="0" fontId="7" fillId="0" borderId="56" xfId="0" applyFont="1" applyBorder="1" applyAlignment="1">
      <alignment horizontal="center"/>
    </xf>
    <xf numFmtId="193" fontId="7" fillId="0" borderId="56" xfId="0" applyNumberFormat="1" applyFont="1" applyBorder="1"/>
    <xf numFmtId="0" fontId="10" fillId="0" borderId="54" xfId="0" applyNumberFormat="1" applyFont="1" applyBorder="1"/>
    <xf numFmtId="0" fontId="8" fillId="0" borderId="24" xfId="0" applyNumberFormat="1" applyFont="1" applyBorder="1"/>
    <xf numFmtId="0" fontId="17" fillId="0" borderId="0" xfId="38" quotePrefix="1"/>
    <xf numFmtId="0" fontId="8" fillId="0" borderId="51" xfId="0" applyFont="1" applyFill="1" applyBorder="1" applyAlignment="1" applyProtection="1">
      <alignment horizontal="center" vertical="top" wrapText="1"/>
      <protection locked="0"/>
    </xf>
    <xf numFmtId="0" fontId="8" fillId="0" borderId="32" xfId="0" applyFont="1" applyFill="1" applyBorder="1" applyAlignment="1" applyProtection="1">
      <alignment horizontal="center" vertical="top" wrapText="1"/>
      <protection locked="0"/>
    </xf>
    <xf numFmtId="0" fontId="8" fillId="0" borderId="49" xfId="0" applyFont="1" applyFill="1" applyBorder="1" applyAlignment="1" applyProtection="1">
      <alignment horizontal="center" vertical="top" wrapText="1"/>
      <protection locked="0"/>
    </xf>
    <xf numFmtId="183" fontId="8" fillId="30" borderId="26" xfId="0" applyNumberFormat="1" applyFont="1" applyFill="1" applyBorder="1"/>
    <xf numFmtId="183" fontId="8" fillId="30" borderId="25" xfId="0" applyNumberFormat="1" applyFont="1" applyFill="1" applyBorder="1"/>
    <xf numFmtId="183" fontId="8" fillId="30" borderId="43" xfId="0" applyNumberFormat="1" applyFont="1" applyFill="1" applyBorder="1"/>
    <xf numFmtId="193" fontId="8" fillId="30" borderId="43" xfId="0" applyNumberFormat="1" applyFont="1" applyFill="1" applyBorder="1"/>
    <xf numFmtId="193" fontId="8" fillId="30" borderId="47" xfId="0" applyNumberFormat="1" applyFont="1" applyFill="1" applyBorder="1"/>
    <xf numFmtId="193" fontId="8" fillId="30" borderId="25" xfId="0" applyNumberFormat="1" applyFont="1" applyFill="1" applyBorder="1"/>
    <xf numFmtId="193" fontId="8" fillId="30" borderId="60" xfId="0" applyNumberFormat="1" applyFont="1" applyFill="1" applyBorder="1"/>
    <xf numFmtId="0" fontId="12" fillId="0" borderId="0" xfId="0" applyFont="1" applyFill="1" applyBorder="1" applyAlignment="1">
      <alignment horizontal="left"/>
    </xf>
    <xf numFmtId="193" fontId="7" fillId="0" borderId="0" xfId="0" applyNumberFormat="1" applyFont="1" applyFill="1" applyBorder="1" applyProtection="1">
      <protection locked="0"/>
    </xf>
    <xf numFmtId="193" fontId="7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193" fontId="8" fillId="0" borderId="28" xfId="0" applyNumberFormat="1" applyFont="1" applyFill="1" applyBorder="1"/>
    <xf numFmtId="0" fontId="8" fillId="0" borderId="61" xfId="0" applyFont="1" applyBorder="1"/>
    <xf numFmtId="0" fontId="7" fillId="0" borderId="61" xfId="0" applyFont="1" applyBorder="1" applyAlignment="1">
      <alignment horizontal="center"/>
    </xf>
    <xf numFmtId="193" fontId="8" fillId="0" borderId="61" xfId="0" applyNumberFormat="1" applyFont="1" applyBorder="1"/>
    <xf numFmtId="193" fontId="8" fillId="0" borderId="61" xfId="0" applyNumberFormat="1" applyFont="1" applyFill="1" applyBorder="1"/>
    <xf numFmtId="193" fontId="8" fillId="0" borderId="44" xfId="0" applyNumberFormat="1" applyFont="1" applyBorder="1"/>
    <xf numFmtId="193" fontId="7" fillId="30" borderId="22" xfId="0" applyNumberFormat="1" applyFont="1" applyFill="1" applyBorder="1"/>
    <xf numFmtId="182" fontId="7" fillId="0" borderId="21" xfId="0" applyNumberFormat="1" applyFont="1" applyBorder="1"/>
    <xf numFmtId="182" fontId="7" fillId="0" borderId="37" xfId="0" applyNumberFormat="1" applyFont="1" applyBorder="1"/>
    <xf numFmtId="182" fontId="7" fillId="0" borderId="27" xfId="0" applyNumberFormat="1" applyFont="1" applyBorder="1"/>
    <xf numFmtId="182" fontId="7" fillId="0" borderId="38" xfId="0" applyNumberFormat="1" applyFont="1" applyBorder="1"/>
    <xf numFmtId="193" fontId="7" fillId="30" borderId="28" xfId="0" applyNumberFormat="1" applyFont="1" applyFill="1" applyBorder="1"/>
    <xf numFmtId="193" fontId="7" fillId="30" borderId="27" xfId="0" applyNumberFormat="1" applyFont="1" applyFill="1" applyBorder="1"/>
    <xf numFmtId="193" fontId="7" fillId="30" borderId="21" xfId="0" applyNumberFormat="1" applyFont="1" applyFill="1" applyBorder="1"/>
    <xf numFmtId="193" fontId="7" fillId="0" borderId="55" xfId="0" applyNumberFormat="1" applyFont="1" applyBorder="1"/>
    <xf numFmtId="193" fontId="7" fillId="31" borderId="22" xfId="0" applyNumberFormat="1" applyFont="1" applyFill="1" applyBorder="1" applyProtection="1">
      <protection locked="0"/>
    </xf>
    <xf numFmtId="193" fontId="7" fillId="31" borderId="21" xfId="0" applyNumberFormat="1" applyFont="1" applyFill="1" applyBorder="1" applyProtection="1">
      <protection locked="0"/>
    </xf>
    <xf numFmtId="193" fontId="7" fillId="31" borderId="37" xfId="0" applyNumberFormat="1" applyFont="1" applyFill="1" applyBorder="1" applyProtection="1">
      <protection locked="0"/>
    </xf>
    <xf numFmtId="0" fontId="4" fillId="29" borderId="62" xfId="0" applyFont="1" applyFill="1" applyBorder="1" applyAlignment="1">
      <alignment horizontal="center"/>
    </xf>
    <xf numFmtId="0" fontId="4" fillId="29" borderId="61" xfId="0" applyFont="1" applyFill="1" applyBorder="1" applyAlignment="1">
      <alignment horizontal="center"/>
    </xf>
    <xf numFmtId="0" fontId="4" fillId="29" borderId="17" xfId="0" applyFont="1" applyFill="1" applyBorder="1" applyAlignment="1">
      <alignment horizontal="center"/>
    </xf>
    <xf numFmtId="0" fontId="4" fillId="24" borderId="62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8" fillId="0" borderId="63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/>
    </xf>
    <xf numFmtId="0" fontId="8" fillId="0" borderId="6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9" fontId="8" fillId="0" borderId="22" xfId="41" applyFont="1" applyFill="1" applyBorder="1" applyAlignment="1">
      <alignment horizontal="center" vertical="center" wrapText="1"/>
    </xf>
    <xf numFmtId="9" fontId="8" fillId="0" borderId="51" xfId="41" applyFont="1" applyFill="1" applyBorder="1" applyAlignment="1">
      <alignment horizontal="center" vertical="center" wrapText="1"/>
    </xf>
    <xf numFmtId="9" fontId="8" fillId="0" borderId="37" xfId="41" applyFont="1" applyFill="1" applyBorder="1" applyAlignment="1">
      <alignment horizontal="center" vertical="center" wrapText="1"/>
    </xf>
    <xf numFmtId="9" fontId="8" fillId="0" borderId="50" xfId="4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9" fontId="8" fillId="0" borderId="20" xfId="41" applyFont="1" applyFill="1" applyBorder="1" applyAlignment="1">
      <alignment horizontal="center" vertical="center" wrapText="1"/>
    </xf>
    <xf numFmtId="9" fontId="8" fillId="0" borderId="19" xfId="41" applyFont="1" applyFill="1" applyBorder="1" applyAlignment="1">
      <alignment horizontal="center" vertical="center" wrapText="1"/>
    </xf>
    <xf numFmtId="9" fontId="8" fillId="0" borderId="21" xfId="41" applyFont="1" applyFill="1" applyBorder="1" applyAlignment="1">
      <alignment horizontal="center" vertical="center" wrapText="1"/>
    </xf>
    <xf numFmtId="9" fontId="8" fillId="0" borderId="32" xfId="4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9" fontId="8" fillId="0" borderId="29" xfId="41" applyFont="1" applyFill="1" applyBorder="1" applyAlignment="1">
      <alignment horizontal="center" vertical="center" wrapText="1"/>
    </xf>
    <xf numFmtId="9" fontId="8" fillId="0" borderId="55" xfId="41" applyFont="1" applyFill="1" applyBorder="1" applyAlignment="1">
      <alignment horizontal="center" vertical="center" wrapText="1"/>
    </xf>
    <xf numFmtId="9" fontId="8" fillId="0" borderId="23" xfId="41" applyFont="1" applyFill="1" applyBorder="1" applyAlignment="1">
      <alignment horizontal="center" vertical="center" wrapText="1"/>
    </xf>
    <xf numFmtId="9" fontId="8" fillId="0" borderId="39" xfId="41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Protection="1">
      <protection locked="0"/>
    </xf>
    <xf numFmtId="0" fontId="0" fillId="32" borderId="0" xfId="0" applyFont="1" applyFill="1" applyBorder="1" applyProtection="1">
      <protection locked="0"/>
    </xf>
    <xf numFmtId="0" fontId="0" fillId="0" borderId="0" xfId="0" applyFont="1" applyBorder="1" applyProtection="1"/>
    <xf numFmtId="0" fontId="36" fillId="32" borderId="0" xfId="0" applyFont="1" applyFill="1" applyBorder="1" applyProtection="1">
      <protection locked="0"/>
    </xf>
    <xf numFmtId="0" fontId="37" fillId="0" borderId="0" xfId="0" applyFont="1" applyBorder="1" applyProtection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Final cover - LG Reporting" xfId="3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11" Type="http://schemas.openxmlformats.org/officeDocument/2006/relationships/image" Target="../media/image19.emf"/><Relationship Id="rId5" Type="http://schemas.openxmlformats.org/officeDocument/2006/relationships/image" Target="../media/image13.emf"/><Relationship Id="rId10" Type="http://schemas.openxmlformats.org/officeDocument/2006/relationships/image" Target="../media/image18.emf"/><Relationship Id="rId4" Type="http://schemas.openxmlformats.org/officeDocument/2006/relationships/image" Target="../media/image12.emf"/><Relationship Id="rId9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66675</xdr:colOff>
      <xdr:row>39</xdr:row>
      <xdr:rowOff>95250</xdr:rowOff>
    </xdr:to>
    <xdr:grpSp>
      <xdr:nvGrpSpPr>
        <xdr:cNvPr id="4074" name="Group 29"/>
        <xdr:cNvGrpSpPr>
          <a:grpSpLocks/>
        </xdr:cNvGrpSpPr>
      </xdr:nvGrpSpPr>
      <xdr:grpSpPr bwMode="auto">
        <a:xfrm>
          <a:off x="0" y="9525"/>
          <a:ext cx="7582766" cy="6502111"/>
          <a:chOff x="0" y="1"/>
          <a:chExt cx="791" cy="672"/>
        </a:xfrm>
      </xdr:grpSpPr>
      <xdr:grpSp>
        <xdr:nvGrpSpPr>
          <xdr:cNvPr id="4076" name="Group 1"/>
          <xdr:cNvGrpSpPr>
            <a:grpSpLocks/>
          </xdr:cNvGrpSpPr>
        </xdr:nvGrpSpPr>
        <xdr:grpSpPr bwMode="auto">
          <a:xfrm>
            <a:off x="0" y="1"/>
            <a:ext cx="791" cy="672"/>
            <a:chOff x="0" y="1"/>
            <a:chExt cx="791" cy="672"/>
          </a:xfrm>
        </xdr:grpSpPr>
        <xdr:grpSp>
          <xdr:nvGrpSpPr>
            <xdr:cNvPr id="4078" name="Group 2"/>
            <xdr:cNvGrpSpPr>
              <a:grpSpLocks/>
            </xdr:cNvGrpSpPr>
          </xdr:nvGrpSpPr>
          <xdr:grpSpPr bwMode="auto">
            <a:xfrm>
              <a:off x="0" y="1"/>
              <a:ext cx="791" cy="672"/>
              <a:chOff x="12" y="17"/>
              <a:chExt cx="791" cy="672"/>
            </a:xfrm>
          </xdr:grpSpPr>
          <xdr:pic>
            <xdr:nvPicPr>
              <xdr:cNvPr id="4080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/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pic>
            <xdr:nvPicPr>
              <xdr:cNvPr id="4081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</xdr:pic>
          <xdr:grpSp>
            <xdr:nvGrpSpPr>
              <xdr:cNvPr id="4082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4087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grpSp>
              <xdr:nvGrpSpPr>
                <xdr:cNvPr id="4088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4090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 cstate="print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</xdr:pic>
              <xdr:sp macro="" textlink="">
                <xdr:nvSpPr>
                  <xdr:cNvPr id="4091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</xdr:spPr>
              </xdr:sp>
            </xdr:grpSp>
            <xdr:sp macro="" textlink="">
              <xdr:nvSpPr>
                <xdr:cNvPr id="3082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/>
                  <a:ext uri="{91240B29-F687-4F45-9708-019B960494DF}"/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Technical enquiries to the MFMA Helpline at: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lgdataqueries@treasury.gov.za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Data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Queries on formats: lgdataqueries@treasury.gov.za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4083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4084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 cstate="print"/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4085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 cstate="print"/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4086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 cstate="print"/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</xdr:grpSp>
        </xdr:grpSp>
        <xdr:pic>
          <xdr:nvPicPr>
            <xdr:cNvPr id="4079" name="Picture 15" descr="E1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11" y="12"/>
              <a:ext cx="770" cy="2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</xdr:grpSp>
      <xdr:sp macro="" textlink="">
        <xdr:nvSpPr>
          <xdr:cNvPr id="3099" name="Text Box 27"/>
          <xdr:cNvSpPr txBox="1">
            <a:spLocks noChangeArrowheads="1"/>
          </xdr:cNvSpPr>
        </xdr:nvSpPr>
        <xdr:spPr bwMode="auto">
          <a:xfrm>
            <a:off x="678" y="203"/>
            <a:ext cx="87" cy="18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2.6</a:t>
            </a: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3098" name="Text Box 26"/>
        <xdr:cNvSpPr txBox="1">
          <a:spLocks noChangeArrowheads="1"/>
        </xdr:cNvSpPr>
      </xdr:nvSpPr>
      <xdr:spPr bwMode="auto">
        <a:xfrm>
          <a:off x="619125" y="2581275"/>
          <a:ext cx="200025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43</xdr:row>
      <xdr:rowOff>19050</xdr:rowOff>
    </xdr:to>
    <xdr:pic>
      <xdr:nvPicPr>
        <xdr:cNvPr id="5091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534275" cy="698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</xdr:row>
      <xdr:rowOff>152400</xdr:rowOff>
    </xdr:from>
    <xdr:to>
      <xdr:col>12</xdr:col>
      <xdr:colOff>123825</xdr:colOff>
      <xdr:row>42</xdr:row>
      <xdr:rowOff>47625</xdr:rowOff>
    </xdr:to>
    <xdr:pic>
      <xdr:nvPicPr>
        <xdr:cNvPr id="5092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75" y="4200525"/>
          <a:ext cx="733425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7</xdr:row>
      <xdr:rowOff>47625</xdr:rowOff>
    </xdr:from>
    <xdr:to>
      <xdr:col>5</xdr:col>
      <xdr:colOff>76200</xdr:colOff>
      <xdr:row>9</xdr:row>
      <xdr:rowOff>104775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Municipal Entity  Name:</a:t>
          </a:r>
        </a:p>
      </xdr:txBody>
    </xdr:sp>
    <xdr:clientData/>
  </xdr:twoCellAnchor>
  <xdr:twoCellAnchor editAs="oneCell">
    <xdr:from>
      <xdr:col>0</xdr:col>
      <xdr:colOff>228600</xdr:colOff>
      <xdr:row>19</xdr:row>
      <xdr:rowOff>142875</xdr:rowOff>
    </xdr:from>
    <xdr:to>
      <xdr:col>5</xdr:col>
      <xdr:colOff>114300</xdr:colOff>
      <xdr:row>22</xdr:row>
      <xdr:rowOff>152400</xdr:rowOff>
    </xdr:to>
    <xdr:sp macro="" textlink="">
      <xdr:nvSpPr>
        <xdr:cNvPr id="4103" name="Text Box 22"/>
        <xdr:cNvSpPr txBox="1">
          <a:spLocks noChangeArrowheads="1"/>
        </xdr:cNvSpPr>
      </xdr:nvSpPr>
      <xdr:spPr bwMode="auto">
        <a:xfrm>
          <a:off x="228600" y="32194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19</xdr:row>
      <xdr:rowOff>152400</xdr:rowOff>
    </xdr:from>
    <xdr:to>
      <xdr:col>9</xdr:col>
      <xdr:colOff>476250</xdr:colOff>
      <xdr:row>23</xdr:row>
      <xdr:rowOff>0</xdr:rowOff>
    </xdr:to>
    <xdr:sp macro="" textlink="">
      <xdr:nvSpPr>
        <xdr:cNvPr id="4104" name="Text Box 24"/>
        <xdr:cNvSpPr txBox="1">
          <a:spLocks noChangeArrowheads="1"/>
        </xdr:cNvSpPr>
      </xdr:nvSpPr>
      <xdr:spPr bwMode="auto">
        <a:xfrm>
          <a:off x="4524375" y="32289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200025</xdr:colOff>
      <xdr:row>10</xdr:row>
      <xdr:rowOff>47625</xdr:rowOff>
    </xdr:from>
    <xdr:to>
      <xdr:col>5</xdr:col>
      <xdr:colOff>85725</xdr:colOff>
      <xdr:row>12</xdr:row>
      <xdr:rowOff>19050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12</xdr:row>
      <xdr:rowOff>104775</xdr:rowOff>
    </xdr:from>
    <xdr:to>
      <xdr:col>5</xdr:col>
      <xdr:colOff>85725</xdr:colOff>
      <xdr:row>14</xdr:row>
      <xdr:rowOff>76200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15</xdr:row>
      <xdr:rowOff>9525</xdr:rowOff>
    </xdr:from>
    <xdr:to>
      <xdr:col>5</xdr:col>
      <xdr:colOff>95250</xdr:colOff>
      <xdr:row>17</xdr:row>
      <xdr:rowOff>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12</xdr:row>
      <xdr:rowOff>123825</xdr:rowOff>
    </xdr:from>
    <xdr:to>
      <xdr:col>8</xdr:col>
      <xdr:colOff>552450</xdr:colOff>
      <xdr:row>14</xdr:row>
      <xdr:rowOff>95250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xdr:twoCellAnchor>
    <xdr:from>
      <xdr:col>2</xdr:col>
      <xdr:colOff>228600</xdr:colOff>
      <xdr:row>17</xdr:row>
      <xdr:rowOff>28575</xdr:rowOff>
    </xdr:from>
    <xdr:to>
      <xdr:col>5</xdr:col>
      <xdr:colOff>114300</xdr:colOff>
      <xdr:row>20</xdr:row>
      <xdr:rowOff>38100</xdr:rowOff>
    </xdr:to>
    <xdr:sp macro="" textlink="">
      <xdr:nvSpPr>
        <xdr:cNvPr id="4125" name="Text Box 24"/>
        <xdr:cNvSpPr txBox="1">
          <a:spLocks noChangeArrowheads="1"/>
        </xdr:cNvSpPr>
      </xdr:nvSpPr>
      <xdr:spPr bwMode="auto">
        <a:xfrm>
          <a:off x="1447800" y="2781300"/>
          <a:ext cx="1714500" cy="4953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Date of Adjustment:</a:t>
          </a:r>
        </a:p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dd/mm/yyyy</a:t>
          </a:r>
        </a:p>
      </xdr:txBody>
    </xdr:sp>
    <xdr:clientData/>
  </xdr:twoCellAnchor>
  <xdr:twoCellAnchor>
    <xdr:from>
      <xdr:col>0</xdr:col>
      <xdr:colOff>238125</xdr:colOff>
      <xdr:row>26</xdr:row>
      <xdr:rowOff>57150</xdr:rowOff>
    </xdr:from>
    <xdr:to>
      <xdr:col>5</xdr:col>
      <xdr:colOff>581025</xdr:colOff>
      <xdr:row>29</xdr:row>
      <xdr:rowOff>66675</xdr:rowOff>
    </xdr:to>
    <xdr:sp macro="" textlink="">
      <xdr:nvSpPr>
        <xdr:cNvPr id="4127" name="Text Box 18"/>
        <xdr:cNvSpPr txBox="1">
          <a:spLocks noChangeArrowheads="1"/>
        </xdr:cNvSpPr>
      </xdr:nvSpPr>
      <xdr:spPr bwMode="auto">
        <a:xfrm>
          <a:off x="238125" y="4267200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0</xdr:col>
      <xdr:colOff>209550</xdr:colOff>
      <xdr:row>29</xdr:row>
      <xdr:rowOff>66675</xdr:rowOff>
    </xdr:from>
    <xdr:to>
      <xdr:col>4</xdr:col>
      <xdr:colOff>447675</xdr:colOff>
      <xdr:row>31</xdr:row>
      <xdr:rowOff>114300</xdr:rowOff>
    </xdr:to>
    <xdr:sp macro="" textlink="">
      <xdr:nvSpPr>
        <xdr:cNvPr id="4128" name="Text Box 32"/>
        <xdr:cNvSpPr txBox="1">
          <a:spLocks noChangeArrowheads="1"/>
        </xdr:cNvSpPr>
      </xdr:nvSpPr>
      <xdr:spPr bwMode="auto">
        <a:xfrm>
          <a:off x="209550" y="47625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133350</xdr:colOff>
      <xdr:row>36</xdr:row>
      <xdr:rowOff>152400</xdr:rowOff>
    </xdr:from>
    <xdr:to>
      <xdr:col>5</xdr:col>
      <xdr:colOff>114300</xdr:colOff>
      <xdr:row>39</xdr:row>
      <xdr:rowOff>38100</xdr:rowOff>
    </xdr:to>
    <xdr:sp macro="" textlink="">
      <xdr:nvSpPr>
        <xdr:cNvPr id="4129" name="Text Box 33"/>
        <xdr:cNvSpPr txBox="1">
          <a:spLocks noChangeArrowheads="1"/>
        </xdr:cNvSpPr>
      </xdr:nvSpPr>
      <xdr:spPr bwMode="auto">
        <a:xfrm>
          <a:off x="133350" y="5981700"/>
          <a:ext cx="3028950" cy="3714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xdr:twoCellAnchor>
    <xdr:from>
      <xdr:col>6</xdr:col>
      <xdr:colOff>228600</xdr:colOff>
      <xdr:row>26</xdr:row>
      <xdr:rowOff>66675</xdr:rowOff>
    </xdr:from>
    <xdr:to>
      <xdr:col>11</xdr:col>
      <xdr:colOff>571500</xdr:colOff>
      <xdr:row>29</xdr:row>
      <xdr:rowOff>76200</xdr:rowOff>
    </xdr:to>
    <xdr:sp macro="" textlink="">
      <xdr:nvSpPr>
        <xdr:cNvPr id="4130" name="Text Box 18"/>
        <xdr:cNvSpPr txBox="1">
          <a:spLocks noChangeArrowheads="1"/>
        </xdr:cNvSpPr>
      </xdr:nvSpPr>
      <xdr:spPr bwMode="auto">
        <a:xfrm>
          <a:off x="3886200" y="4276725"/>
          <a:ext cx="33909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Submission of Data</a:t>
          </a:r>
        </a:p>
      </xdr:txBody>
    </xdr:sp>
    <xdr:clientData/>
  </xdr:twoCellAnchor>
  <xdr:twoCellAnchor>
    <xdr:from>
      <xdr:col>6</xdr:col>
      <xdr:colOff>381000</xdr:colOff>
      <xdr:row>29</xdr:row>
      <xdr:rowOff>85725</xdr:rowOff>
    </xdr:from>
    <xdr:to>
      <xdr:col>11</xdr:col>
      <xdr:colOff>361950</xdr:colOff>
      <xdr:row>31</xdr:row>
      <xdr:rowOff>95250</xdr:rowOff>
    </xdr:to>
    <xdr:sp macro="" textlink="">
      <xdr:nvSpPr>
        <xdr:cNvPr id="4131" name="Text Box 35"/>
        <xdr:cNvSpPr txBox="1">
          <a:spLocks noChangeArrowheads="1"/>
        </xdr:cNvSpPr>
      </xdr:nvSpPr>
      <xdr:spPr bwMode="auto">
        <a:xfrm>
          <a:off x="4038600" y="4781550"/>
          <a:ext cx="3028950" cy="3333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Preparing Data File for Submission</a:t>
          </a:r>
        </a:p>
      </xdr:txBody>
    </xdr:sp>
    <xdr:clientData/>
  </xdr:twoCellAnchor>
  <xdr:twoCellAnchor>
    <xdr:from>
      <xdr:col>0</xdr:col>
      <xdr:colOff>190500</xdr:colOff>
      <xdr:row>4</xdr:row>
      <xdr:rowOff>76200</xdr:rowOff>
    </xdr:from>
    <xdr:to>
      <xdr:col>5</xdr:col>
      <xdr:colOff>76200</xdr:colOff>
      <xdr:row>6</xdr:row>
      <xdr:rowOff>133350</xdr:rowOff>
    </xdr:to>
    <xdr:sp macro="" textlink="">
      <xdr:nvSpPr>
        <xdr:cNvPr id="2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0.%20Final%20-%20June%202008\3.%20Formats%20-%2002%20July%202008\B%20Schedule%20Municipal%20Adjustments%20Budg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2.%20Development\00.%20Final%20-%20March%202009\2.%20Formats\1.%20Formats%2029.03.2009\B%20Schedule%20Municipal%20Adjustments%20Budget%20-%2006%20April%202009%20c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02.%20Development\00.%20Final%20-%20March%202009\2.%20Formats\1.%20Formats%2029.03.2009\C%20Schedule%20Municipal%20Monthly%20Budget%20Statement%20-%2006%20April%202009%20c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upa/AppData/Local/Microsoft/Windows/Temporary%20Internet%20Files/Content.Outlook/9N531Z5N/GTEDA%20revised%20multi%20year%20budget-2014-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hilda/My%20Documents/FINANCE%20AND%20ADMINISTRATION/FINANCE/FINANCIAL%20REPORTING/GTM%20Monthly%20Report%202014%20Finance/GTM%20Budget%202015/2%20c%202014%202015%20Supporting%20tables%20D1%20to%20D5%20and%20SD1%20to%20SD11%20G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3">
          <cell r="B3">
            <v>2007</v>
          </cell>
        </row>
        <row r="4">
          <cell r="B4" t="str">
            <v>2006/07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09">
          <cell r="B109" t="str">
            <v>Consolidated Service (basic) delivery measurement</v>
          </cell>
        </row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"/>
      <sheetName val="INSTRUCTIONS"/>
      <sheetName val="Lookup and lists"/>
      <sheetName val="Template Names"/>
      <sheetName val="Org Structure"/>
      <sheetName val="Municipal Adjust Summary B1"/>
      <sheetName val="Vote B2"/>
      <sheetName val="Standard Class B3"/>
      <sheetName val="FinPerf B4"/>
      <sheetName val="Capital B5"/>
      <sheetName val="FinPos B6"/>
      <sheetName val="Cash B7"/>
      <sheetName val="Cash backing B8"/>
      <sheetName val="Assets B9"/>
      <sheetName val="Service Del B10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B14"/>
      <sheetName val="B15"/>
      <sheetName val="B16"/>
      <sheetName val="B17"/>
      <sheetName val="B18"/>
      <sheetName val="B19"/>
      <sheetName val="B20"/>
      <sheetName val="B Schedule Municipal Adjustment"/>
    </sheetNames>
    <sheetDataSet>
      <sheetData sheetId="0" refreshError="1"/>
      <sheetData sheetId="1" refreshError="1"/>
      <sheetData sheetId="2" refreshError="1">
        <row r="2">
          <cell r="L2" t="str">
            <v>Yes</v>
          </cell>
        </row>
        <row r="3">
          <cell r="L3" t="str">
            <v>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9"/>
      <sheetName val="SB20"/>
    </sheetNames>
    <sheetDataSet>
      <sheetData sheetId="0" refreshError="1"/>
      <sheetData sheetId="1" refreshError="1"/>
      <sheetData sheetId="2" refreshError="1">
        <row r="64">
          <cell r="B64">
            <v>2</v>
          </cell>
          <cell r="D6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1-Sum"/>
      <sheetName val="C2-FinPerf S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71charts"/>
      <sheetName val="C2C"/>
      <sheetName val="Contacts"/>
      <sheetName val="SC71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9">
          <cell r="I9">
            <v>0</v>
          </cell>
        </row>
        <row r="45">
          <cell r="K45">
            <v>323820.67</v>
          </cell>
          <cell r="M45">
            <v>356202.53700000001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D1-Sum"/>
      <sheetName val="D2-FinPerf"/>
      <sheetName val="D3-Capex"/>
      <sheetName val="D4-FinPos"/>
      <sheetName val="D5-CFlow"/>
      <sheetName val="SD1"/>
      <sheetName val="SD2"/>
      <sheetName val="SD3"/>
      <sheetName val="SD4"/>
      <sheetName val="SD5"/>
      <sheetName val="SD6"/>
      <sheetName val="SD7a"/>
      <sheetName val="SD7b"/>
      <sheetName val="SD7c"/>
      <sheetName val="SD8"/>
      <sheetName val="SD9"/>
      <sheetName val="SD10"/>
      <sheetName val="SD11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0" Type="http://schemas.openxmlformats.org/officeDocument/2006/relationships/control" Target="../activeX/activeX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46"/>
  </sheetPr>
  <dimension ref="A1"/>
  <sheetViews>
    <sheetView showGridLines="0" tabSelected="1" topLeftCell="A4" zoomScale="110" workbookViewId="0"/>
  </sheetViews>
  <sheetFormatPr defaultColWidth="8" defaultRowHeight="12.75"/>
  <cols>
    <col min="1" max="16384" width="8" style="315"/>
  </cols>
  <sheetData>
    <row r="1" spans="1:1">
      <c r="A1" s="383" t="s">
        <v>615</v>
      </c>
    </row>
  </sheetData>
  <phoneticPr fontId="18" type="noConversion"/>
  <pageMargins left="0.75" right="0.75" top="1" bottom="1" header="0.5" footer="0.5"/>
  <pageSetup paperSize="8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50" enableFormatConditionsCalculation="0">
    <tabColor rgb="FFC4FCDF"/>
  </sheetPr>
  <dimension ref="A1:L35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35.7109375" style="20" customWidth="1"/>
    <col min="2" max="2" width="15.7109375" style="20" customWidth="1"/>
    <col min="3" max="12" width="8.7109375" style="20" customWidth="1"/>
    <col min="13" max="16384" width="9.140625" style="20"/>
  </cols>
  <sheetData>
    <row r="1" spans="1:12" ht="13.5">
      <c r="A1" s="19" t="str">
        <f>MEAB5&amp;" - "&amp;Date</f>
        <v xml:space="preserve"> - Supporting Table SE1  Adjustments Budget - measurable performance targets - </v>
      </c>
      <c r="B1" s="48"/>
    </row>
    <row r="2" spans="1:12" ht="38.25">
      <c r="A2" s="428" t="s">
        <v>551</v>
      </c>
      <c r="B2" s="426" t="s">
        <v>41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2" ht="25.5">
      <c r="A3" s="429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2">
      <c r="A4" s="429"/>
      <c r="B4" s="427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2">
      <c r="A5" s="430"/>
      <c r="B5" s="431"/>
      <c r="C5" s="201" t="s">
        <v>111</v>
      </c>
      <c r="D5" s="202" t="s">
        <v>325</v>
      </c>
      <c r="E5" s="202" t="s">
        <v>81</v>
      </c>
      <c r="F5" s="202" t="s">
        <v>37</v>
      </c>
      <c r="G5" s="204" t="s">
        <v>139</v>
      </c>
      <c r="H5" s="204" t="s">
        <v>12</v>
      </c>
      <c r="I5" s="204" t="s">
        <v>13</v>
      </c>
      <c r="J5" s="204" t="s">
        <v>14</v>
      </c>
      <c r="K5" s="134"/>
      <c r="L5" s="173"/>
    </row>
    <row r="6" spans="1:12">
      <c r="A6" s="223"/>
      <c r="B6" s="224"/>
      <c r="C6" s="225"/>
      <c r="D6" s="226"/>
      <c r="E6" s="226"/>
      <c r="F6" s="226"/>
      <c r="G6" s="226"/>
      <c r="H6" s="226"/>
      <c r="I6" s="29">
        <f>SUM(E6:H6)</f>
        <v>0</v>
      </c>
      <c r="J6" s="29">
        <f>IF(D6=0,C6+I6,D6+I6)</f>
        <v>0</v>
      </c>
      <c r="K6" s="236"/>
      <c r="L6" s="237"/>
    </row>
    <row r="7" spans="1:12" ht="12.75" customHeight="1">
      <c r="A7" s="227"/>
      <c r="B7" s="228"/>
      <c r="C7" s="214"/>
      <c r="D7" s="215"/>
      <c r="E7" s="215"/>
      <c r="F7" s="215"/>
      <c r="G7" s="215"/>
      <c r="H7" s="215"/>
      <c r="I7" s="29">
        <f t="shared" ref="I7:I24" si="0">SUM(E7:H7)</f>
        <v>0</v>
      </c>
      <c r="J7" s="29">
        <f t="shared" ref="J7:J24" si="1">IF(D7=0,C7+I7,D7+I7)</f>
        <v>0</v>
      </c>
      <c r="K7" s="215"/>
      <c r="L7" s="216"/>
    </row>
    <row r="8" spans="1:12" ht="12.75" customHeight="1">
      <c r="A8" s="227"/>
      <c r="B8" s="228"/>
      <c r="C8" s="214"/>
      <c r="D8" s="215"/>
      <c r="E8" s="215"/>
      <c r="F8" s="215"/>
      <c r="G8" s="215"/>
      <c r="H8" s="215"/>
      <c r="I8" s="29">
        <f t="shared" si="0"/>
        <v>0</v>
      </c>
      <c r="J8" s="29">
        <f t="shared" si="1"/>
        <v>0</v>
      </c>
      <c r="K8" s="215"/>
      <c r="L8" s="216"/>
    </row>
    <row r="9" spans="1:12" ht="12.75" customHeight="1">
      <c r="A9" s="227"/>
      <c r="B9" s="228"/>
      <c r="C9" s="214"/>
      <c r="D9" s="215"/>
      <c r="E9" s="215"/>
      <c r="F9" s="215"/>
      <c r="G9" s="215"/>
      <c r="H9" s="215"/>
      <c r="I9" s="29">
        <f t="shared" si="0"/>
        <v>0</v>
      </c>
      <c r="J9" s="29">
        <f t="shared" si="1"/>
        <v>0</v>
      </c>
      <c r="K9" s="215"/>
      <c r="L9" s="216"/>
    </row>
    <row r="10" spans="1:12" ht="12.75" customHeight="1">
      <c r="A10" s="227"/>
      <c r="B10" s="228"/>
      <c r="C10" s="214"/>
      <c r="D10" s="215"/>
      <c r="E10" s="215"/>
      <c r="F10" s="215"/>
      <c r="G10" s="215"/>
      <c r="H10" s="215"/>
      <c r="I10" s="29">
        <f t="shared" si="0"/>
        <v>0</v>
      </c>
      <c r="J10" s="29">
        <f t="shared" si="1"/>
        <v>0</v>
      </c>
      <c r="K10" s="215"/>
      <c r="L10" s="216"/>
    </row>
    <row r="11" spans="1:12" ht="12.75" customHeight="1">
      <c r="A11" s="227"/>
      <c r="B11" s="228"/>
      <c r="C11" s="214"/>
      <c r="D11" s="215"/>
      <c r="E11" s="215"/>
      <c r="F11" s="215"/>
      <c r="G11" s="215"/>
      <c r="H11" s="215"/>
      <c r="I11" s="29">
        <f t="shared" si="0"/>
        <v>0</v>
      </c>
      <c r="J11" s="29">
        <f t="shared" si="1"/>
        <v>0</v>
      </c>
      <c r="K11" s="215"/>
      <c r="L11" s="216"/>
    </row>
    <row r="12" spans="1:12" ht="12.75" customHeight="1">
      <c r="A12" s="227"/>
      <c r="B12" s="228"/>
      <c r="C12" s="214"/>
      <c r="D12" s="215"/>
      <c r="E12" s="215"/>
      <c r="F12" s="215"/>
      <c r="G12" s="215"/>
      <c r="H12" s="215"/>
      <c r="I12" s="29">
        <f t="shared" si="0"/>
        <v>0</v>
      </c>
      <c r="J12" s="29">
        <f t="shared" si="1"/>
        <v>0</v>
      </c>
      <c r="K12" s="215"/>
      <c r="L12" s="216"/>
    </row>
    <row r="13" spans="1:12" ht="12.75" customHeight="1">
      <c r="A13" s="227"/>
      <c r="B13" s="228"/>
      <c r="C13" s="214"/>
      <c r="D13" s="215"/>
      <c r="E13" s="215"/>
      <c r="F13" s="215"/>
      <c r="G13" s="215"/>
      <c r="H13" s="215"/>
      <c r="I13" s="29">
        <f t="shared" si="0"/>
        <v>0</v>
      </c>
      <c r="J13" s="29">
        <f t="shared" si="1"/>
        <v>0</v>
      </c>
      <c r="K13" s="215"/>
      <c r="L13" s="216"/>
    </row>
    <row r="14" spans="1:12" ht="12.75" customHeight="1">
      <c r="A14" s="227"/>
      <c r="B14" s="228"/>
      <c r="C14" s="214"/>
      <c r="D14" s="215"/>
      <c r="E14" s="215"/>
      <c r="F14" s="215"/>
      <c r="G14" s="215"/>
      <c r="H14" s="215"/>
      <c r="I14" s="29">
        <f t="shared" si="0"/>
        <v>0</v>
      </c>
      <c r="J14" s="29">
        <f t="shared" si="1"/>
        <v>0</v>
      </c>
      <c r="K14" s="215"/>
      <c r="L14" s="216"/>
    </row>
    <row r="15" spans="1:12" ht="12.75" customHeight="1">
      <c r="A15" s="227"/>
      <c r="B15" s="228"/>
      <c r="C15" s="214"/>
      <c r="D15" s="215"/>
      <c r="E15" s="215"/>
      <c r="F15" s="215"/>
      <c r="G15" s="215"/>
      <c r="H15" s="215"/>
      <c r="I15" s="29">
        <f t="shared" si="0"/>
        <v>0</v>
      </c>
      <c r="J15" s="29">
        <f t="shared" si="1"/>
        <v>0</v>
      </c>
      <c r="K15" s="215"/>
      <c r="L15" s="216"/>
    </row>
    <row r="16" spans="1:12" ht="12.75" customHeight="1">
      <c r="A16" s="227"/>
      <c r="B16" s="228"/>
      <c r="C16" s="214"/>
      <c r="D16" s="215"/>
      <c r="E16" s="215"/>
      <c r="F16" s="215"/>
      <c r="G16" s="215"/>
      <c r="H16" s="215"/>
      <c r="I16" s="29">
        <f t="shared" si="0"/>
        <v>0</v>
      </c>
      <c r="J16" s="29">
        <f t="shared" si="1"/>
        <v>0</v>
      </c>
      <c r="K16" s="215"/>
      <c r="L16" s="216"/>
    </row>
    <row r="17" spans="1:12" ht="12.75" customHeight="1">
      <c r="A17" s="227"/>
      <c r="B17" s="228"/>
      <c r="C17" s="214"/>
      <c r="D17" s="215"/>
      <c r="E17" s="215"/>
      <c r="F17" s="215"/>
      <c r="G17" s="215"/>
      <c r="H17" s="215"/>
      <c r="I17" s="29">
        <f t="shared" si="0"/>
        <v>0</v>
      </c>
      <c r="J17" s="29">
        <f t="shared" si="1"/>
        <v>0</v>
      </c>
      <c r="K17" s="215"/>
      <c r="L17" s="216"/>
    </row>
    <row r="18" spans="1:12" ht="12.75" customHeight="1">
      <c r="A18" s="227"/>
      <c r="B18" s="228"/>
      <c r="C18" s="214"/>
      <c r="D18" s="215"/>
      <c r="E18" s="215"/>
      <c r="F18" s="215"/>
      <c r="G18" s="215"/>
      <c r="H18" s="215"/>
      <c r="I18" s="29">
        <f t="shared" si="0"/>
        <v>0</v>
      </c>
      <c r="J18" s="29">
        <f t="shared" si="1"/>
        <v>0</v>
      </c>
      <c r="K18" s="215"/>
      <c r="L18" s="216"/>
    </row>
    <row r="19" spans="1:12" ht="12.75" customHeight="1">
      <c r="A19" s="227"/>
      <c r="B19" s="228"/>
      <c r="C19" s="214"/>
      <c r="D19" s="215"/>
      <c r="E19" s="215"/>
      <c r="F19" s="215"/>
      <c r="G19" s="215"/>
      <c r="H19" s="215"/>
      <c r="I19" s="29">
        <f t="shared" si="0"/>
        <v>0</v>
      </c>
      <c r="J19" s="29">
        <f t="shared" si="1"/>
        <v>0</v>
      </c>
      <c r="K19" s="215"/>
      <c r="L19" s="216"/>
    </row>
    <row r="20" spans="1:12" ht="12.75" customHeight="1">
      <c r="A20" s="229"/>
      <c r="B20" s="230"/>
      <c r="C20" s="214"/>
      <c r="D20" s="215"/>
      <c r="E20" s="215"/>
      <c r="F20" s="215"/>
      <c r="G20" s="215"/>
      <c r="H20" s="215"/>
      <c r="I20" s="29">
        <f t="shared" si="0"/>
        <v>0</v>
      </c>
      <c r="J20" s="29">
        <f t="shared" si="1"/>
        <v>0</v>
      </c>
      <c r="K20" s="215"/>
      <c r="L20" s="216"/>
    </row>
    <row r="21" spans="1:12" ht="12.75" customHeight="1">
      <c r="A21" s="227"/>
      <c r="B21" s="228"/>
      <c r="C21" s="214"/>
      <c r="D21" s="215"/>
      <c r="E21" s="215"/>
      <c r="F21" s="215"/>
      <c r="G21" s="215"/>
      <c r="H21" s="215"/>
      <c r="I21" s="29">
        <f t="shared" si="0"/>
        <v>0</v>
      </c>
      <c r="J21" s="29">
        <f t="shared" si="1"/>
        <v>0</v>
      </c>
      <c r="K21" s="215"/>
      <c r="L21" s="216"/>
    </row>
    <row r="22" spans="1:12" ht="12.75" customHeight="1">
      <c r="A22" s="229"/>
      <c r="B22" s="231"/>
      <c r="C22" s="214"/>
      <c r="D22" s="215"/>
      <c r="E22" s="215"/>
      <c r="F22" s="215"/>
      <c r="G22" s="215"/>
      <c r="H22" s="215"/>
      <c r="I22" s="29">
        <f t="shared" si="0"/>
        <v>0</v>
      </c>
      <c r="J22" s="29">
        <f t="shared" si="1"/>
        <v>0</v>
      </c>
      <c r="K22" s="215"/>
      <c r="L22" s="216"/>
    </row>
    <row r="23" spans="1:12" ht="12.75" customHeight="1">
      <c r="A23" s="227"/>
      <c r="B23" s="228"/>
      <c r="C23" s="214"/>
      <c r="D23" s="215"/>
      <c r="E23" s="215"/>
      <c r="F23" s="215"/>
      <c r="G23" s="215"/>
      <c r="H23" s="215"/>
      <c r="I23" s="29">
        <f t="shared" si="0"/>
        <v>0</v>
      </c>
      <c r="J23" s="29">
        <f t="shared" si="1"/>
        <v>0</v>
      </c>
      <c r="K23" s="215"/>
      <c r="L23" s="216"/>
    </row>
    <row r="24" spans="1:12" ht="12.75" customHeight="1">
      <c r="A24" s="232"/>
      <c r="B24" s="233"/>
      <c r="C24" s="234"/>
      <c r="D24" s="235"/>
      <c r="E24" s="235"/>
      <c r="F24" s="235"/>
      <c r="G24" s="235"/>
      <c r="H24" s="235"/>
      <c r="I24" s="69">
        <f t="shared" si="0"/>
        <v>0</v>
      </c>
      <c r="J24" s="69">
        <f t="shared" si="1"/>
        <v>0</v>
      </c>
      <c r="K24" s="235"/>
      <c r="L24" s="238"/>
    </row>
    <row r="25" spans="1:12" ht="12.75" customHeight="1">
      <c r="A25" s="38" t="s">
        <v>176</v>
      </c>
      <c r="B25" s="80"/>
      <c r="C25" s="150"/>
      <c r="D25" s="150"/>
      <c r="E25" s="150"/>
      <c r="F25" s="81"/>
      <c r="G25" s="81"/>
      <c r="H25" s="81"/>
      <c r="I25" s="81"/>
      <c r="J25" s="81"/>
      <c r="K25" s="81"/>
      <c r="L25" s="81"/>
    </row>
    <row r="26" spans="1:12" ht="12.75" customHeight="1">
      <c r="A26" s="159" t="s">
        <v>436</v>
      </c>
      <c r="B26" s="80"/>
      <c r="C26" s="150"/>
      <c r="D26" s="150"/>
      <c r="E26" s="150"/>
      <c r="F26" s="81"/>
      <c r="G26" s="81"/>
      <c r="H26" s="81"/>
      <c r="I26" s="81"/>
      <c r="J26" s="81"/>
      <c r="K26" s="81"/>
      <c r="L26" s="81"/>
    </row>
    <row r="27" spans="1:12" ht="12.75" customHeight="1">
      <c r="A27" s="159" t="s">
        <v>113</v>
      </c>
      <c r="B27" s="80"/>
      <c r="C27" s="150"/>
      <c r="D27" s="150"/>
      <c r="E27" s="150"/>
      <c r="F27" s="81"/>
      <c r="G27" s="81"/>
      <c r="H27" s="81"/>
      <c r="I27" s="81"/>
      <c r="J27" s="81"/>
      <c r="K27" s="81"/>
      <c r="L27" s="81"/>
    </row>
    <row r="28" spans="1:12" ht="12.75" customHeight="1">
      <c r="A28" s="159" t="s">
        <v>114</v>
      </c>
      <c r="B28" s="80"/>
      <c r="C28" s="150"/>
      <c r="D28" s="150"/>
      <c r="E28" s="150"/>
      <c r="F28" s="81"/>
      <c r="G28" s="81"/>
      <c r="H28" s="81"/>
      <c r="I28" s="81"/>
      <c r="J28" s="81"/>
      <c r="K28" s="81"/>
      <c r="L28" s="81"/>
    </row>
    <row r="29" spans="1:12" ht="12.75" customHeight="1">
      <c r="A29" s="159" t="s">
        <v>115</v>
      </c>
      <c r="B29" s="80"/>
      <c r="C29" s="150"/>
      <c r="D29" s="150"/>
      <c r="E29" s="150"/>
      <c r="F29" s="81"/>
      <c r="G29" s="81"/>
      <c r="H29" s="81"/>
      <c r="I29" s="81"/>
      <c r="J29" s="81"/>
      <c r="K29" s="81"/>
      <c r="L29" s="81"/>
    </row>
    <row r="30" spans="1:12" ht="12.75" customHeight="1">
      <c r="A30" s="159" t="s">
        <v>235</v>
      </c>
      <c r="B30" s="80"/>
      <c r="C30" s="150"/>
      <c r="D30" s="150"/>
      <c r="E30" s="150"/>
      <c r="F30" s="81"/>
      <c r="G30" s="81"/>
      <c r="H30" s="81"/>
      <c r="I30" s="81"/>
      <c r="J30" s="81"/>
      <c r="K30" s="81"/>
      <c r="L30" s="81"/>
    </row>
    <row r="31" spans="1:12" ht="12.75" customHeight="1">
      <c r="A31" s="159" t="s">
        <v>233</v>
      </c>
      <c r="B31" s="80"/>
      <c r="C31" s="150"/>
      <c r="D31" s="150"/>
      <c r="E31" s="150"/>
      <c r="F31" s="81"/>
      <c r="G31" s="81"/>
      <c r="H31" s="81"/>
      <c r="I31" s="81"/>
      <c r="J31" s="81"/>
      <c r="K31" s="81"/>
      <c r="L31" s="81"/>
    </row>
    <row r="32" spans="1:12" ht="12.75" customHeight="1">
      <c r="A32" s="159" t="s">
        <v>234</v>
      </c>
      <c r="B32" s="80"/>
      <c r="C32" s="150"/>
      <c r="D32" s="150"/>
      <c r="E32" s="150"/>
      <c r="F32" s="81"/>
      <c r="G32" s="81"/>
      <c r="H32" s="81"/>
      <c r="I32" s="81"/>
      <c r="J32" s="81"/>
      <c r="K32" s="81"/>
      <c r="L32" s="81"/>
    </row>
    <row r="33" spans="1:12" ht="12.75" customHeight="1">
      <c r="A33" s="54" t="s">
        <v>236</v>
      </c>
      <c r="B33" s="80"/>
      <c r="C33" s="150"/>
      <c r="D33" s="150"/>
      <c r="E33" s="150"/>
      <c r="F33" s="81"/>
      <c r="G33" s="81"/>
      <c r="H33" s="81"/>
      <c r="I33" s="81"/>
      <c r="J33" s="81"/>
      <c r="K33" s="81"/>
      <c r="L33" s="81"/>
    </row>
    <row r="34" spans="1:12" ht="12.75" customHeight="1">
      <c r="A34" s="54" t="s">
        <v>237</v>
      </c>
      <c r="B34" s="75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>
      <c r="A35" s="98"/>
      <c r="B35" s="98"/>
    </row>
  </sheetData>
  <mergeCells count="3">
    <mergeCell ref="A2:A5"/>
    <mergeCell ref="B2:B5"/>
    <mergeCell ref="C2:J2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51" enableFormatConditionsCalculation="0">
    <tabColor rgb="FFC4FCDF"/>
  </sheetPr>
  <dimension ref="A1:G101"/>
  <sheetViews>
    <sheetView showGridLines="0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RowHeight="21.75" customHeight="1"/>
  <cols>
    <col min="1" max="2" width="25.7109375" style="20" customWidth="1"/>
    <col min="3" max="3" width="3.140625" style="20" customWidth="1"/>
    <col min="4" max="4" width="8.7109375" style="20" customWidth="1"/>
    <col min="5" max="16384" width="9.140625" style="20"/>
  </cols>
  <sheetData>
    <row r="1" spans="1:7" ht="12.75" customHeight="1">
      <c r="A1" s="19" t="str">
        <f>MEAB6&amp;" - "&amp;Date</f>
        <v xml:space="preserve"> - Supporting Table SE2   Adjustments Budget  - financial and non-financial indicators - </v>
      </c>
      <c r="B1" s="48"/>
      <c r="C1" s="48"/>
    </row>
    <row r="2" spans="1:7" ht="25.5">
      <c r="A2" s="428" t="s">
        <v>94</v>
      </c>
      <c r="B2" s="426" t="s">
        <v>276</v>
      </c>
      <c r="C2" s="434" t="str">
        <f>head27</f>
        <v>Ref</v>
      </c>
      <c r="D2" s="425" t="str">
        <f ca="1">Head9</f>
        <v>Budget Year 2014/15</v>
      </c>
      <c r="E2" s="422"/>
      <c r="F2" s="21" t="str">
        <f ca="1">Head10</f>
        <v>Budget Year +1 2015/16</v>
      </c>
      <c r="G2" s="85" t="str">
        <f ca="1">Head11</f>
        <v>Budget Year +2 2016/17</v>
      </c>
    </row>
    <row r="3" spans="1:7" ht="25.5">
      <c r="A3" s="432"/>
      <c r="B3" s="433"/>
      <c r="C3" s="435"/>
      <c r="D3" s="183" t="str">
        <f>Head6</f>
        <v>Original Budget</v>
      </c>
      <c r="E3" s="184" t="str">
        <f>Head7</f>
        <v>Adjusted Budget</v>
      </c>
      <c r="F3" s="184" t="str">
        <f>Head7</f>
        <v>Adjusted Budget</v>
      </c>
      <c r="G3" s="185" t="str">
        <f>Head7</f>
        <v>Adjusted Budget</v>
      </c>
    </row>
    <row r="4" spans="1:7" ht="12.75" customHeight="1">
      <c r="A4" s="78" t="s">
        <v>74</v>
      </c>
      <c r="B4" s="99"/>
      <c r="C4" s="292"/>
      <c r="D4" s="29"/>
      <c r="E4" s="93"/>
      <c r="F4" s="93"/>
      <c r="G4" s="126"/>
    </row>
    <row r="5" spans="1:7" ht="12.75" customHeight="1">
      <c r="A5" s="77" t="s">
        <v>314</v>
      </c>
      <c r="B5" s="99" t="s">
        <v>306</v>
      </c>
      <c r="C5" s="80"/>
      <c r="D5" s="29">
        <f>IF(ISERROR('E4-FinPos'!C37/'E4-FinPos'!C25),0,('E4-FinPos'!C37/'E4-FinPos'!C25))</f>
        <v>0</v>
      </c>
      <c r="E5" s="29">
        <f>IF(ISERROR('E4-FinPos'!J37/'E4-FinPos'!J25),0,('E4-FinPos'!J37/'E4-FinPos'!J25))</f>
        <v>0</v>
      </c>
      <c r="F5" s="29">
        <f>IF(ISERROR('E4-FinPos'!K37/'E4-FinPos'!K25),0,('E4-FinPos'!K37/'E4-FinPos'!K25))</f>
        <v>0</v>
      </c>
      <c r="G5" s="87">
        <f>IF(ISERROR('E4-FinPos'!L37/'E4-FinPos'!L25),0,('E4-FinPos'!L37/'E4-FinPos'!L25))</f>
        <v>0</v>
      </c>
    </row>
    <row r="6" spans="1:7" ht="25.5">
      <c r="A6" s="77" t="s">
        <v>315</v>
      </c>
      <c r="B6" s="99" t="s">
        <v>391</v>
      </c>
      <c r="C6" s="80"/>
      <c r="D6" s="29">
        <f>IF(ISERROR(('E2-FinPerf'!C31+'E2-FinPerf'!C32)/'E2-FinPerf'!C39),0,(('E2-FinPerf'!C31+'E2-FinPerf'!C32)/'E2-FinPerf'!C39))</f>
        <v>0</v>
      </c>
      <c r="E6" s="29">
        <f>IF(ISERROR(('E2-FinPerf'!J31+'E2-FinPerf'!J32)/'E2-FinPerf'!J39),0,(('E2-FinPerf'!J31+'E2-FinPerf'!J32)/'E2-FinPerf'!J39))</f>
        <v>0</v>
      </c>
      <c r="F6" s="29">
        <f>IF(ISERROR(('E2-FinPerf'!K31+'E2-FinPerf'!K32)/'E2-FinPerf'!K39),0,(('E2-FinPerf'!K31+'E2-FinPerf'!K32)/'E2-FinPerf'!K39))</f>
        <v>0</v>
      </c>
      <c r="G6" s="87">
        <f>IF(ISERROR(('E2-FinPerf'!L31+'E2-FinPerf'!L32)/'E2-FinPerf'!L39),0,(('E2-FinPerf'!L31+'E2-FinPerf'!L32)/'E2-FinPerf'!L39))</f>
        <v>0</v>
      </c>
    </row>
    <row r="7" spans="1:7" ht="25.5">
      <c r="A7" s="77" t="s">
        <v>195</v>
      </c>
      <c r="B7" s="99" t="s">
        <v>914</v>
      </c>
      <c r="C7" s="80"/>
      <c r="D7" s="29">
        <f>IF(ISERROR(('E3-Capex'!C41-'E3-Capex'!#REF!)/('E3-Capex'!C32-'E3-Capex'!C40)),0,(('E3-Capex'!C41-'E3-Capex'!#REF!)/('E3-Capex'!C32-'E3-Capex'!C40)))</f>
        <v>0</v>
      </c>
      <c r="E7" s="29">
        <f>IF(ISERROR(('E3-Capex'!J41-'E3-Capex'!#REF!)/('E3-Capex'!J32-'E3-Capex'!J40)),0,(('E3-Capex'!J41-'E3-Capex'!#REF!)/('E3-Capex'!J32-'E3-Capex'!J40)))</f>
        <v>0</v>
      </c>
      <c r="F7" s="29">
        <f>IF(ISERROR(('E3-Capex'!K41-'E3-Capex'!#REF!)/('E3-Capex'!K32-'E3-Capex'!K40)),0,(('E3-Capex'!K41-'E3-Capex'!#REF!)/('E3-Capex'!K32-'E3-Capex'!K40)))</f>
        <v>0</v>
      </c>
      <c r="G7" s="87">
        <f>IF(ISERROR(('E3-Capex'!L41-'E3-Capex'!#REF!)/('E3-Capex'!L32-'E3-Capex'!L40)),0,(('E3-Capex'!L41-'E3-Capex'!#REF!)/('E3-Capex'!L32-'E3-Capex'!L40)))</f>
        <v>0</v>
      </c>
    </row>
    <row r="8" spans="1:7" ht="12.75" customHeight="1">
      <c r="A8" s="78" t="s">
        <v>251</v>
      </c>
      <c r="B8" s="99"/>
      <c r="C8" s="80"/>
      <c r="D8" s="29"/>
      <c r="E8" s="29"/>
      <c r="F8" s="29"/>
      <c r="G8" s="87"/>
    </row>
    <row r="9" spans="1:7" ht="25.5">
      <c r="A9" s="77" t="s">
        <v>443</v>
      </c>
      <c r="B9" s="99" t="s">
        <v>427</v>
      </c>
      <c r="C9" s="80"/>
      <c r="D9" s="29">
        <f>IF(ISERROR('E4-FinPos'!C40/'E4-FinPos'!C48),0,('E4-FinPos'!C40/'E4-FinPos'!C48))</f>
        <v>0</v>
      </c>
      <c r="E9" s="29">
        <f>IF(ISERROR('E4-FinPos'!J40/'E4-FinPos'!J48),0,('E4-FinPos'!J40/'E4-FinPos'!J48))</f>
        <v>0</v>
      </c>
      <c r="F9" s="29">
        <f>IF(ISERROR('E4-FinPos'!K40/'E4-FinPos'!K48),0,('E4-FinPos'!K40/'E4-FinPos'!K48))</f>
        <v>0</v>
      </c>
      <c r="G9" s="87">
        <f>IF(ISERROR('E4-FinPos'!L40/'E4-FinPos'!L48),0,('E4-FinPos'!L40/'E4-FinPos'!L48))</f>
        <v>0</v>
      </c>
    </row>
    <row r="10" spans="1:7" ht="12.75" customHeight="1">
      <c r="A10" s="77" t="s">
        <v>250</v>
      </c>
      <c r="B10" s="99" t="s">
        <v>247</v>
      </c>
      <c r="C10" s="80"/>
      <c r="D10" s="29">
        <f>IF(ISERROR('E4-FinPos'!C37/'E4-FinPos'!C48),0,('E4-FinPos'!C37/'E4-FinPos'!C48))</f>
        <v>0</v>
      </c>
      <c r="E10" s="29">
        <f>IF(ISERROR('E4-FinPos'!J37/'E4-FinPos'!J48),0,('E4-FinPos'!J37/'E4-FinPos'!J48))</f>
        <v>0</v>
      </c>
      <c r="F10" s="29">
        <f>IF(ISERROR(0/('E4-FinPos'!K37/'E4-FinPos'!K48)),0,(0/('E4-FinPos'!K37/'E4-FinPos'!K48)))</f>
        <v>0</v>
      </c>
      <c r="G10" s="87">
        <f>IF(ISERROR(0/('E4-FinPos'!L37/'E4-FinPos'!L48)),0,(0/('E4-FinPos'!L37/'E4-FinPos'!L48)))</f>
        <v>0</v>
      </c>
    </row>
    <row r="11" spans="1:7" ht="12.75" customHeight="1">
      <c r="A11" s="78" t="s">
        <v>252</v>
      </c>
      <c r="B11" s="99"/>
      <c r="C11" s="80"/>
      <c r="D11" s="29"/>
      <c r="E11" s="29"/>
      <c r="F11" s="29"/>
      <c r="G11" s="87"/>
    </row>
    <row r="12" spans="1:7" ht="12.75" customHeight="1">
      <c r="A12" s="77" t="s">
        <v>316</v>
      </c>
      <c r="B12" s="99" t="s">
        <v>82</v>
      </c>
      <c r="C12" s="80"/>
      <c r="D12" s="29">
        <f>IF(ISERROR('E4-FinPos'!C14/'E4-FinPos'!C34),0,('E4-FinPos'!C14/'E4-FinPos'!C34))</f>
        <v>0</v>
      </c>
      <c r="E12" s="29">
        <f>IF(ISERROR('E4-FinPos'!J14/'E4-FinPos'!J34),0,('E4-FinPos'!J14/'E4-FinPos'!J34))</f>
        <v>0</v>
      </c>
      <c r="F12" s="29">
        <f>IF(ISERROR('E4-FinPos'!K14/'E4-FinPos'!K34),0,('E4-FinPos'!K14/'E4-FinPos'!K34))</f>
        <v>0</v>
      </c>
      <c r="G12" s="87">
        <f>IF(ISERROR('E4-FinPos'!L14/'E4-FinPos'!L34),0,('E4-FinPos'!L14/'E4-FinPos'!L34))</f>
        <v>0</v>
      </c>
    </row>
    <row r="13" spans="1:7" ht="25.5">
      <c r="A13" s="77" t="s">
        <v>166</v>
      </c>
      <c r="B13" s="99" t="s">
        <v>165</v>
      </c>
      <c r="C13" s="80"/>
      <c r="D13" s="29">
        <f>IF(ISERROR(('E4-FinPos'!C14-'SE2'!D38)/'E4-FinPos'!C34),0,(('E4-FinPos'!C14-'SE2'!D38)/'E4-FinPos'!C34))</f>
        <v>0</v>
      </c>
      <c r="E13" s="29">
        <f>IF(ISERROR(('E4-FinPos'!J14-'SE2'!E38)/'E4-FinPos'!J34),0,(('E4-FinPos'!J14-'SE2'!E38)/'E4-FinPos'!J34))</f>
        <v>0</v>
      </c>
      <c r="F13" s="29">
        <f>IF(ISERROR(('E4-FinPos'!E14-'SE2'!F38)/'E4-FinPos'!E34),0,(('E4-FinPos'!E14-'SE2'!F38)/'E4-FinPos'!E34))</f>
        <v>0</v>
      </c>
      <c r="G13" s="87">
        <f>IF(ISERROR(('E4-FinPos'!F14-'SE2'!G38)/'E4-FinPos'!F34),0,(('E4-FinPos'!F14-'SE2'!G38)/'E4-FinPos'!F34))</f>
        <v>0</v>
      </c>
    </row>
    <row r="14" spans="1:7" ht="12.75" customHeight="1">
      <c r="A14" s="77" t="s">
        <v>253</v>
      </c>
      <c r="B14" s="99" t="s">
        <v>4</v>
      </c>
      <c r="C14" s="80"/>
      <c r="D14" s="29">
        <f>IF(ISERROR(('E4-FinPos'!C8+'E4-FinPos'!C9)/'E4-FinPos'!C34),0,(('E4-FinPos'!C8+'E4-FinPos'!C9)/'E4-FinPos'!C34))</f>
        <v>0</v>
      </c>
      <c r="E14" s="29">
        <f>IF(ISERROR(('E4-FinPos'!J8+'E4-FinPos'!J9)/'E4-FinPos'!J34),0,(('E4-FinPos'!J8+'E4-FinPos'!J9)/'E4-FinPos'!J34))</f>
        <v>0</v>
      </c>
      <c r="F14" s="29">
        <f>IF(ISERROR(('E4-FinPos'!K8+'E4-FinPos'!K9)/'E4-FinPos'!K34),0,(('E4-FinPos'!K8+'E4-FinPos'!K9)/'E4-FinPos'!K34))</f>
        <v>0</v>
      </c>
      <c r="G14" s="87">
        <f>IF(ISERROR(('E4-FinPos'!L8+'E4-FinPos'!L9)/'E4-FinPos'!L34),0,(('E4-FinPos'!L8+'E4-FinPos'!L9)/'E4-FinPos'!L34))</f>
        <v>0</v>
      </c>
    </row>
    <row r="15" spans="1:7" ht="12.75" customHeight="1">
      <c r="A15" s="78" t="s">
        <v>5</v>
      </c>
      <c r="B15" s="99"/>
      <c r="C15" s="80"/>
      <c r="D15" s="29"/>
      <c r="E15" s="93"/>
      <c r="F15" s="93"/>
      <c r="G15" s="126"/>
    </row>
    <row r="16" spans="1:7" ht="25.5">
      <c r="A16" s="77" t="s">
        <v>31</v>
      </c>
      <c r="B16" s="99" t="s">
        <v>32</v>
      </c>
      <c r="C16" s="80"/>
      <c r="D16" s="29">
        <f>IF(ISERROR(D39/D40),0,(D39/D40))</f>
        <v>0</v>
      </c>
      <c r="E16" s="29">
        <f>IF(ISERROR(E39/E40),0,(E39/E40))</f>
        <v>0</v>
      </c>
      <c r="F16" s="29">
        <f>IF(ISERROR(F39/F40),0,(F39/F40))</f>
        <v>0</v>
      </c>
      <c r="G16" s="87">
        <f>IF(ISERROR(G39/G40),0,(G39/G40))</f>
        <v>0</v>
      </c>
    </row>
    <row r="17" spans="1:7" ht="25.5">
      <c r="A17" s="77" t="s">
        <v>33</v>
      </c>
      <c r="B17" s="99" t="s">
        <v>164</v>
      </c>
      <c r="C17" s="80"/>
      <c r="D17" s="29">
        <f>IF(ISERROR(('E4-FinPos'!C10+'E4-FinPos'!C11+'E4-FinPos'!C12+'E4-FinPos'!C17)/'E2-FinPerf'!C24),0,(('E4-FinPos'!C10+'E4-FinPos'!C11+'E4-FinPos'!C12+'E4-FinPos'!C17)/'E2-FinPerf'!C24))</f>
        <v>0</v>
      </c>
      <c r="E17" s="29">
        <f>IF(ISERROR(('E4-FinPos'!J10+'E4-FinPos'!J11+'E4-FinPos'!J12+'E4-FinPos'!J17)/'E2-FinPerf'!J24),0,(('E4-FinPos'!J10+'E4-FinPos'!J11+'E4-FinPos'!J12+'E4-FinPos'!J17)/'E2-FinPerf'!J24))</f>
        <v>0</v>
      </c>
      <c r="F17" s="29">
        <f>IF(ISERROR(('E4-FinPos'!K10+'E4-FinPos'!K11+'E4-FinPos'!K12+'E4-FinPos'!K17)/'E2-FinPerf'!K24),0,(('E4-FinPos'!K10+'E4-FinPos'!K11+'E4-FinPos'!K12+'E4-FinPos'!K17)/'E2-FinPerf'!K24))</f>
        <v>0</v>
      </c>
      <c r="G17" s="87">
        <f>IF(ISERROR(('E4-FinPos'!L10+'E4-FinPos'!L11+'E4-FinPos'!L12+'E4-FinPos'!L17)/'E2-FinPerf'!L24),0,(('E4-FinPos'!L10+'E4-FinPos'!L11+'E4-FinPos'!L12+'E4-FinPos'!L17)/'E2-FinPerf'!L24))</f>
        <v>0</v>
      </c>
    </row>
    <row r="18" spans="1:7" ht="25.5">
      <c r="A18" s="77" t="s">
        <v>444</v>
      </c>
      <c r="B18" s="99" t="s">
        <v>445</v>
      </c>
      <c r="C18" s="80"/>
      <c r="D18" s="29">
        <f>IF(ISERROR(D41/'E4-FinPos'!C17),0,(D41/'E4-FinPos'!C17))</f>
        <v>0</v>
      </c>
      <c r="E18" s="29">
        <f>IF(ISERROR(E41/'E4-FinPos'!J17),0,(E41/'E4-FinPos'!J17))</f>
        <v>0</v>
      </c>
      <c r="F18" s="29">
        <f>IF(ISERROR(F41/'E4-FinPos'!K17),0,(F41/'E4-FinPos'!K17))</f>
        <v>0</v>
      </c>
      <c r="G18" s="87">
        <f>IF(ISERROR(G41/'E4-FinPos'!L17),0,(G41/'E4-FinPos'!L17))</f>
        <v>0</v>
      </c>
    </row>
    <row r="19" spans="1:7" ht="12.75" customHeight="1">
      <c r="A19" s="78" t="s">
        <v>446</v>
      </c>
      <c r="B19" s="99"/>
      <c r="C19" s="80"/>
      <c r="D19" s="29"/>
      <c r="E19" s="93"/>
      <c r="F19" s="93"/>
      <c r="G19" s="126"/>
    </row>
    <row r="20" spans="1:7" ht="25.5">
      <c r="A20" s="77" t="s">
        <v>447</v>
      </c>
      <c r="B20" s="99" t="s">
        <v>307</v>
      </c>
      <c r="C20" s="80"/>
      <c r="D20" s="215"/>
      <c r="E20" s="239"/>
      <c r="F20" s="239"/>
      <c r="G20" s="240"/>
    </row>
    <row r="21" spans="1:7" ht="12.75" customHeight="1">
      <c r="A21" s="78" t="s">
        <v>70</v>
      </c>
      <c r="B21" s="99"/>
      <c r="C21" s="80"/>
      <c r="D21" s="29"/>
      <c r="E21" s="93"/>
      <c r="F21" s="93"/>
      <c r="G21" s="126"/>
    </row>
    <row r="22" spans="1:7" ht="12.75" customHeight="1">
      <c r="A22" s="77" t="s">
        <v>71</v>
      </c>
      <c r="B22" s="99" t="s">
        <v>72</v>
      </c>
      <c r="C22" s="80"/>
      <c r="D22" s="215"/>
      <c r="E22" s="239"/>
      <c r="F22" s="239"/>
      <c r="G22" s="240"/>
    </row>
    <row r="23" spans="1:7" ht="12.75" customHeight="1">
      <c r="A23" s="78" t="s">
        <v>73</v>
      </c>
      <c r="B23" s="99"/>
      <c r="C23" s="80"/>
      <c r="D23" s="29"/>
      <c r="E23" s="93"/>
      <c r="F23" s="93"/>
      <c r="G23" s="126"/>
    </row>
    <row r="24" spans="1:7" ht="38.25">
      <c r="A24" s="345" t="s">
        <v>65</v>
      </c>
      <c r="B24" s="99" t="s">
        <v>915</v>
      </c>
      <c r="C24" s="346">
        <v>1</v>
      </c>
      <c r="D24" s="215"/>
      <c r="E24" s="239"/>
      <c r="F24" s="239"/>
      <c r="G24" s="240"/>
    </row>
    <row r="25" spans="1:7" ht="38.25">
      <c r="A25" s="345" t="s">
        <v>64</v>
      </c>
      <c r="B25" s="99" t="s">
        <v>916</v>
      </c>
      <c r="C25" s="346">
        <v>2</v>
      </c>
      <c r="D25" s="215"/>
      <c r="E25" s="239"/>
      <c r="F25" s="239"/>
      <c r="G25" s="240"/>
    </row>
    <row r="26" spans="1:7" ht="25.5">
      <c r="A26" s="77" t="s">
        <v>36</v>
      </c>
      <c r="B26" s="99" t="s">
        <v>266</v>
      </c>
      <c r="C26" s="80"/>
      <c r="D26" s="29">
        <f>IF(ISERROR('E2-FinPerf'!C27/'E2-FinPerf'!C24),0,('E2-FinPerf'!C27/'E2-FinPerf'!C24))</f>
        <v>0.62796663454545454</v>
      </c>
      <c r="E26" s="29">
        <f>IF(ISERROR('E2-FinPerf'!J27/'E2-FinPerf'!J24),0,('E2-FinPerf'!J27/'E2-FinPerf'!J24))</f>
        <v>0.65482090909090906</v>
      </c>
      <c r="F26" s="29">
        <f>IF(ISERROR('E2-FinPerf'!K27/'E2-FinPerf'!K24),0,('E2-FinPerf'!K27/'E2-FinPerf'!K24))</f>
        <v>0.59725784615384614</v>
      </c>
      <c r="G26" s="87">
        <f>IF(ISERROR('E2-FinPerf'!L27/'E2-FinPerf'!L24),0,('E2-FinPerf'!L27/'E2-FinPerf'!L24))</f>
        <v>0.59757957142857143</v>
      </c>
    </row>
    <row r="27" spans="1:7" ht="12.75" customHeight="1">
      <c r="A27" s="77" t="s">
        <v>264</v>
      </c>
      <c r="B27" s="99" t="s">
        <v>267</v>
      </c>
      <c r="C27" s="80"/>
      <c r="D27" s="29">
        <f>IF(ISERROR('E2-FinPerf'!C51/'E2-FinPerf'!C24),0,('E2-FinPerf'!C51/'E2-FinPerf'!C24))</f>
        <v>0</v>
      </c>
      <c r="E27" s="29">
        <f>IF(ISERROR('E2-FinPerf'!J51/'E2-FinPerf'!J24),0,('E2-FinPerf'!J51/'E2-FinPerf'!J24))</f>
        <v>0</v>
      </c>
      <c r="F27" s="29">
        <f>IF(ISERROR('E2-FinPerf'!K51/'E2-FinPerf'!K24),0,('E2-FinPerf'!K51/'E2-FinPerf'!K24))</f>
        <v>0</v>
      </c>
      <c r="G27" s="87">
        <f>IF(ISERROR('E2-FinPerf'!L51/'E2-FinPerf'!L24),0,('E2-FinPerf'!L51/'E2-FinPerf'!L24))</f>
        <v>0</v>
      </c>
    </row>
    <row r="28" spans="1:7" ht="12.75" customHeight="1">
      <c r="A28" s="77" t="s">
        <v>265</v>
      </c>
      <c r="B28" s="99" t="s">
        <v>254</v>
      </c>
      <c r="C28" s="80"/>
      <c r="D28" s="29">
        <f>IF(ISERROR(('E2-FinPerf'!C31+'E2-FinPerf'!C32)/'E2-FinPerf'!C24),0,(('E2-FinPerf'!C31+'E2-FinPerf'!C32)/'E2-FinPerf'!C24))</f>
        <v>0</v>
      </c>
      <c r="E28" s="29">
        <f>IF(ISERROR(('E2-FinPerf'!J31+'E2-FinPerf'!J32)/'E2-FinPerf'!J24),0,(('E2-FinPerf'!J31+'E2-FinPerf'!J32)/'E2-FinPerf'!J24))</f>
        <v>0</v>
      </c>
      <c r="F28" s="29">
        <f>IF(ISERROR(('E2-FinPerf'!K31+'E2-FinPerf'!K32)/'E2-FinPerf'!K24),0,(('E2-FinPerf'!K31+'E2-FinPerf'!K32)/'E2-FinPerf'!K24))</f>
        <v>0</v>
      </c>
      <c r="G28" s="87">
        <f>IF(ISERROR(('E2-FinPerf'!L31+'E2-FinPerf'!L32)/'E2-FinPerf'!L24),0,(('E2-FinPerf'!L31+'E2-FinPerf'!L32)/'E2-FinPerf'!L24))</f>
        <v>0</v>
      </c>
    </row>
    <row r="29" spans="1:7" ht="12.75" customHeight="1">
      <c r="A29" s="79" t="s">
        <v>317</v>
      </c>
      <c r="B29" s="376"/>
      <c r="C29" s="167"/>
      <c r="D29" s="29"/>
      <c r="E29" s="29"/>
      <c r="F29" s="29"/>
      <c r="G29" s="87"/>
    </row>
    <row r="30" spans="1:7" ht="38.25">
      <c r="A30" s="77" t="s">
        <v>182</v>
      </c>
      <c r="B30" s="99" t="s">
        <v>294</v>
      </c>
      <c r="C30" s="80"/>
      <c r="D30" s="29">
        <f>IF(ISERROR('E2-FinPerf'!C24/'SE2'!D42),0,('E2-FinPerf'!C24/'SE2'!D42))</f>
        <v>0</v>
      </c>
      <c r="E30" s="29">
        <f>IF(ISERROR('E2-FinPerf'!J24/'SE2'!E42),0,('E2-FinPerf'!J24/'SE2'!E42))</f>
        <v>0</v>
      </c>
      <c r="F30" s="29">
        <f>IF(ISERROR('E2-FinPerf'!K24/'SE2'!F42),0,('E2-FinPerf'!K24/'SE2'!F42))</f>
        <v>0</v>
      </c>
      <c r="G30" s="87">
        <f>IF(ISERROR('E2-FinPerf'!L24/'SE2'!G42),0,('E2-FinPerf'!L24/'SE2'!G42))</f>
        <v>0</v>
      </c>
    </row>
    <row r="31" spans="1:7" ht="25.5">
      <c r="A31" s="77" t="s">
        <v>308</v>
      </c>
      <c r="B31" s="99" t="s">
        <v>54</v>
      </c>
      <c r="C31" s="80"/>
      <c r="D31" s="29">
        <f>IF(ISERROR(('E4-FinPos'!C10+'E4-FinPos'!C12+'E4-FinPos'!C17)/'SE2'!D43),0,(('E4-FinPos'!C10+'E4-FinPos'!C12+'E4-FinPos'!C17)/'SE2'!D43))</f>
        <v>0</v>
      </c>
      <c r="E31" s="29">
        <f>IF(ISERROR(('E4-FinPos'!J10+'E4-FinPos'!J12+'E4-FinPos'!J17)/'SE2'!E43),0,(('E4-FinPos'!J10+'E4-FinPos'!J12+'E4-FinPos'!J17)/'SE2'!E43))</f>
        <v>0</v>
      </c>
      <c r="F31" s="29">
        <f>IF(ISERROR(('E4-FinPos'!K10+'E4-FinPos'!K12+'E4-FinPos'!K17)/'SE2'!F43),0,(('E4-FinPos'!K10+'E4-FinPos'!K12+'E4-FinPos'!K17)/'SE2'!F43))</f>
        <v>0</v>
      </c>
      <c r="G31" s="87">
        <f>IF(ISERROR(('E4-FinPos'!L10+'E4-FinPos'!L12+'E4-FinPos'!L17)/'SE2'!G43),0,(('E4-FinPos'!L10+'E4-FinPos'!L12+'E4-FinPos'!L17)/'SE2'!G43))</f>
        <v>0</v>
      </c>
    </row>
    <row r="32" spans="1:7" ht="25.5">
      <c r="A32" s="125" t="s">
        <v>183</v>
      </c>
      <c r="B32" s="102" t="s">
        <v>16</v>
      </c>
      <c r="C32" s="163"/>
      <c r="D32" s="69">
        <f>IF(ISERROR('E5-CFlow'!C41/'SE2'!D44),0,('E5-CFlow'!C41/'SE2'!D44))</f>
        <v>0</v>
      </c>
      <c r="E32" s="69">
        <f>IF(ISERROR('E5-CFlow'!J41/'SE2'!E44),0,('E5-CFlow'!J41/'SE2'!E44))</f>
        <v>0</v>
      </c>
      <c r="F32" s="69">
        <f>IF(ISERROR('E5-CFlow'!K41/'SE2'!F44),0,('E5-CFlow'!K41/'SE2'!F44))</f>
        <v>0</v>
      </c>
      <c r="G32" s="105">
        <f>IF(ISERROR('E5-CFlow'!L41/'SE2'!G44),0,('E5-CFlow'!L41/'SE2'!G44))</f>
        <v>0</v>
      </c>
    </row>
    <row r="33" spans="1:7" ht="12.75" customHeight="1">
      <c r="A33" s="38" t="s">
        <v>176</v>
      </c>
      <c r="B33" s="47"/>
      <c r="C33" s="47"/>
      <c r="D33" s="47"/>
    </row>
    <row r="34" spans="1:7" ht="12.75" customHeight="1">
      <c r="A34" s="54" t="s">
        <v>286</v>
      </c>
      <c r="B34" s="47"/>
      <c r="C34" s="47"/>
      <c r="D34" s="47"/>
    </row>
    <row r="35" spans="1:7" ht="12.75" customHeight="1">
      <c r="A35" s="54" t="s">
        <v>287</v>
      </c>
      <c r="B35" s="47"/>
      <c r="C35" s="47"/>
      <c r="D35" s="47"/>
    </row>
    <row r="36" spans="1:7" ht="12.75" customHeight="1">
      <c r="A36" s="47"/>
      <c r="B36" s="47"/>
      <c r="C36" s="47"/>
      <c r="D36" s="47"/>
    </row>
    <row r="37" spans="1:7" ht="12.75" customHeight="1">
      <c r="A37" s="75" t="s">
        <v>526</v>
      </c>
      <c r="B37" s="47"/>
      <c r="C37" s="47"/>
      <c r="D37" s="58"/>
    </row>
    <row r="38" spans="1:7" ht="12.75" customHeight="1">
      <c r="A38" s="47" t="s">
        <v>527</v>
      </c>
      <c r="B38" s="47"/>
      <c r="C38" s="47"/>
      <c r="D38" s="262"/>
      <c r="E38" s="263"/>
      <c r="F38" s="263"/>
      <c r="G38" s="264"/>
    </row>
    <row r="39" spans="1:7" ht="12.75" customHeight="1">
      <c r="A39" s="47" t="s">
        <v>528</v>
      </c>
      <c r="B39" s="47"/>
      <c r="C39" s="47"/>
      <c r="D39" s="214"/>
      <c r="E39" s="215"/>
      <c r="F39" s="347">
        <f>'E5-CFlow'!C8</f>
        <v>0</v>
      </c>
      <c r="G39" s="348">
        <f>'E5-CFlow'!K8</f>
        <v>0</v>
      </c>
    </row>
    <row r="40" spans="1:7" ht="12.75" customHeight="1">
      <c r="A40" s="47" t="s">
        <v>529</v>
      </c>
      <c r="B40" s="47"/>
      <c r="C40" s="47"/>
      <c r="D40" s="214"/>
      <c r="E40" s="215"/>
      <c r="F40" s="261"/>
      <c r="G40" s="265"/>
    </row>
    <row r="41" spans="1:7" ht="12.75" customHeight="1">
      <c r="A41" s="47" t="s">
        <v>530</v>
      </c>
      <c r="B41" s="47"/>
      <c r="C41" s="47"/>
      <c r="D41" s="214"/>
      <c r="E41" s="215"/>
      <c r="F41" s="215"/>
      <c r="G41" s="216"/>
    </row>
    <row r="42" spans="1:7" ht="12.75" customHeight="1">
      <c r="A42" s="47" t="s">
        <v>534</v>
      </c>
      <c r="B42" s="47"/>
      <c r="C42" s="47"/>
      <c r="D42" s="214"/>
      <c r="E42" s="215"/>
      <c r="F42" s="215"/>
      <c r="G42" s="216"/>
    </row>
    <row r="43" spans="1:7" ht="12.75" customHeight="1">
      <c r="A43" s="47" t="s">
        <v>535</v>
      </c>
      <c r="B43" s="47"/>
      <c r="C43" s="47"/>
      <c r="D43" s="214"/>
      <c r="E43" s="215"/>
      <c r="F43" s="215"/>
      <c r="G43" s="216"/>
    </row>
    <row r="44" spans="1:7" ht="12.75" customHeight="1">
      <c r="A44" s="47" t="s">
        <v>536</v>
      </c>
      <c r="B44" s="47"/>
      <c r="C44" s="47"/>
      <c r="D44" s="234"/>
      <c r="E44" s="235"/>
      <c r="F44" s="235"/>
      <c r="G44" s="238"/>
    </row>
    <row r="45" spans="1:7" ht="12.75" customHeight="1">
      <c r="A45" s="47"/>
      <c r="B45" s="47"/>
      <c r="C45" s="47"/>
      <c r="D45" s="47"/>
    </row>
    <row r="46" spans="1:7" ht="12.75" customHeight="1">
      <c r="A46" s="47"/>
      <c r="B46" s="47"/>
      <c r="C46" s="47"/>
      <c r="D46" s="72"/>
    </row>
    <row r="47" spans="1:7" ht="12.75" customHeight="1">
      <c r="A47" s="47"/>
      <c r="B47" s="47"/>
      <c r="C47" s="47"/>
      <c r="D47" s="72"/>
    </row>
    <row r="48" spans="1:7" ht="12.75" customHeight="1">
      <c r="A48" s="47"/>
      <c r="B48" s="47"/>
      <c r="C48" s="47"/>
      <c r="D48" s="47"/>
    </row>
    <row r="49" spans="1:4" ht="12.75" customHeight="1">
      <c r="A49" s="47"/>
      <c r="B49" s="47"/>
      <c r="C49" s="47"/>
      <c r="D49" s="47"/>
    </row>
    <row r="50" spans="1:4" ht="12.75" customHeight="1">
      <c r="A50" s="47"/>
      <c r="B50" s="47"/>
      <c r="C50" s="47"/>
      <c r="D50" s="47"/>
    </row>
    <row r="51" spans="1:4" ht="12.75" customHeight="1">
      <c r="A51" s="47"/>
      <c r="B51" s="47"/>
      <c r="C51" s="47"/>
      <c r="D51" s="47"/>
    </row>
    <row r="52" spans="1:4" ht="12.75" customHeight="1">
      <c r="A52" s="47"/>
      <c r="B52" s="47"/>
      <c r="C52" s="47"/>
      <c r="D52" s="47"/>
    </row>
    <row r="53" spans="1:4" ht="12.75" customHeight="1">
      <c r="A53" s="47"/>
      <c r="B53" s="47"/>
      <c r="C53" s="47"/>
      <c r="D53" s="47"/>
    </row>
    <row r="54" spans="1:4" ht="12.75" customHeight="1">
      <c r="A54" s="47"/>
      <c r="B54" s="47"/>
      <c r="C54" s="47"/>
      <c r="D54" s="47"/>
    </row>
    <row r="55" spans="1:4" ht="12.75" customHeight="1">
      <c r="A55" s="47"/>
      <c r="B55" s="47"/>
      <c r="C55" s="47"/>
      <c r="D55" s="47"/>
    </row>
    <row r="56" spans="1:4" ht="12.75" customHeight="1">
      <c r="A56" s="47"/>
      <c r="B56" s="47"/>
      <c r="C56" s="47"/>
      <c r="D56" s="47"/>
    </row>
    <row r="57" spans="1:4" ht="12.75" customHeight="1">
      <c r="A57" s="47"/>
      <c r="B57" s="47"/>
      <c r="C57" s="47"/>
      <c r="D57" s="47"/>
    </row>
    <row r="58" spans="1:4" ht="12.75" customHeight="1">
      <c r="A58" s="47"/>
      <c r="B58" s="47"/>
      <c r="C58" s="47"/>
      <c r="D58" s="47"/>
    </row>
    <row r="59" spans="1:4" ht="12.75" customHeight="1">
      <c r="A59" s="47"/>
      <c r="B59" s="47"/>
      <c r="C59" s="47"/>
      <c r="D59" s="47"/>
    </row>
    <row r="60" spans="1:4" ht="12.75" customHeight="1">
      <c r="A60" s="47"/>
      <c r="B60" s="47"/>
      <c r="C60" s="47"/>
      <c r="D60" s="47"/>
    </row>
    <row r="61" spans="1:4" ht="12.75" customHeight="1">
      <c r="A61" s="47"/>
      <c r="B61" s="47"/>
      <c r="C61" s="47"/>
      <c r="D61" s="47"/>
    </row>
    <row r="62" spans="1:4" ht="12.75" customHeight="1">
      <c r="A62" s="47"/>
      <c r="B62" s="47"/>
      <c r="C62" s="47"/>
      <c r="D62" s="47"/>
    </row>
    <row r="63" spans="1:4" ht="12.75" customHeight="1">
      <c r="A63" s="47"/>
      <c r="B63" s="47"/>
      <c r="C63" s="47"/>
      <c r="D63" s="47"/>
    </row>
    <row r="64" spans="1:4" ht="12.75" customHeight="1">
      <c r="A64" s="47"/>
      <c r="B64" s="47"/>
      <c r="C64" s="47"/>
      <c r="D64" s="47"/>
    </row>
    <row r="65" spans="1:4" ht="12.75" customHeight="1">
      <c r="A65" s="47"/>
      <c r="B65" s="47"/>
      <c r="C65" s="47"/>
      <c r="D65" s="47"/>
    </row>
    <row r="66" spans="1:4" ht="12.75" customHeight="1">
      <c r="A66" s="47"/>
      <c r="B66" s="47"/>
      <c r="C66" s="47"/>
      <c r="D66" s="47"/>
    </row>
    <row r="67" spans="1:4" ht="12.75" customHeight="1">
      <c r="A67" s="47"/>
      <c r="B67" s="47"/>
      <c r="C67" s="47"/>
      <c r="D67" s="47"/>
    </row>
    <row r="68" spans="1:4" ht="12.75" customHeight="1">
      <c r="A68" s="47"/>
      <c r="B68" s="47"/>
      <c r="C68" s="47"/>
      <c r="D68" s="47"/>
    </row>
    <row r="69" spans="1:4" ht="12.75" customHeight="1">
      <c r="A69" s="47"/>
      <c r="B69" s="47"/>
      <c r="C69" s="47"/>
      <c r="D69" s="47"/>
    </row>
    <row r="70" spans="1:4" ht="12.75" customHeight="1">
      <c r="A70" s="47"/>
      <c r="B70" s="47"/>
      <c r="C70" s="47"/>
      <c r="D70" s="47"/>
    </row>
    <row r="71" spans="1:4" ht="12.75" customHeight="1">
      <c r="A71" s="47"/>
      <c r="B71" s="47"/>
      <c r="C71" s="47"/>
      <c r="D71" s="47"/>
    </row>
    <row r="72" spans="1:4" ht="12.75" customHeight="1">
      <c r="A72" s="47"/>
      <c r="B72" s="47"/>
      <c r="C72" s="47"/>
      <c r="D72" s="47"/>
    </row>
    <row r="73" spans="1:4" ht="12.75" customHeight="1">
      <c r="A73" s="47"/>
      <c r="B73" s="47"/>
      <c r="C73" s="47"/>
      <c r="D73" s="47"/>
    </row>
    <row r="74" spans="1:4" ht="12.75" customHeight="1">
      <c r="A74" s="47"/>
      <c r="B74" s="47"/>
      <c r="C74" s="47"/>
      <c r="D74" s="47"/>
    </row>
    <row r="75" spans="1:4" ht="12.75" customHeight="1">
      <c r="A75" s="47"/>
      <c r="B75" s="47"/>
      <c r="C75" s="47"/>
      <c r="D75" s="47"/>
    </row>
    <row r="76" spans="1:4" ht="12.75" customHeight="1">
      <c r="A76" s="47"/>
      <c r="B76" s="47"/>
      <c r="C76" s="47"/>
      <c r="D76" s="47"/>
    </row>
    <row r="77" spans="1:4" ht="12.75" customHeight="1">
      <c r="A77" s="47"/>
      <c r="B77" s="47"/>
      <c r="C77" s="47"/>
      <c r="D77" s="47"/>
    </row>
    <row r="78" spans="1:4" ht="12.75" customHeight="1">
      <c r="A78" s="47"/>
      <c r="B78" s="47"/>
      <c r="C78" s="47"/>
      <c r="D78" s="47"/>
    </row>
    <row r="79" spans="1:4" ht="12.75" customHeight="1">
      <c r="A79" s="47"/>
      <c r="B79" s="47"/>
      <c r="C79" s="47"/>
      <c r="D79" s="47"/>
    </row>
    <row r="80" spans="1:4" ht="12.75" customHeight="1">
      <c r="A80" s="47"/>
      <c r="B80" s="47"/>
      <c r="C80" s="47"/>
      <c r="D80" s="47"/>
    </row>
    <row r="81" spans="1:4" ht="12.75" customHeight="1">
      <c r="A81" s="47"/>
      <c r="B81" s="47"/>
      <c r="C81" s="47"/>
      <c r="D81" s="47"/>
    </row>
    <row r="82" spans="1:4" ht="12.75" customHeight="1">
      <c r="A82" s="47"/>
      <c r="B82" s="47"/>
      <c r="C82" s="47"/>
      <c r="D82" s="47"/>
    </row>
    <row r="83" spans="1:4" ht="12.75" customHeight="1">
      <c r="A83" s="47"/>
      <c r="B83" s="47"/>
      <c r="C83" s="47"/>
      <c r="D83" s="47"/>
    </row>
    <row r="84" spans="1:4" ht="12.75" customHeight="1">
      <c r="A84" s="47"/>
      <c r="B84" s="47"/>
      <c r="C84" s="47"/>
      <c r="D84" s="47"/>
    </row>
    <row r="85" spans="1:4" ht="12.75" customHeight="1">
      <c r="A85" s="47"/>
      <c r="B85" s="47"/>
      <c r="C85" s="47"/>
      <c r="D85" s="47"/>
    </row>
    <row r="86" spans="1:4" ht="12.75" customHeight="1">
      <c r="A86" s="47"/>
      <c r="B86" s="47"/>
      <c r="C86" s="47"/>
      <c r="D86" s="47"/>
    </row>
    <row r="87" spans="1:4" ht="12.75" customHeight="1">
      <c r="A87" s="47"/>
      <c r="B87" s="47"/>
      <c r="C87" s="47"/>
      <c r="D87" s="47"/>
    </row>
    <row r="88" spans="1:4" ht="12.75" customHeight="1">
      <c r="A88" s="47"/>
      <c r="B88" s="47"/>
      <c r="C88" s="47"/>
      <c r="D88" s="47"/>
    </row>
    <row r="89" spans="1:4" ht="12.75" customHeight="1">
      <c r="A89" s="47"/>
      <c r="B89" s="47"/>
      <c r="C89" s="47"/>
      <c r="D89" s="47"/>
    </row>
    <row r="90" spans="1:4" ht="12.75" customHeight="1">
      <c r="A90" s="47"/>
      <c r="B90" s="47"/>
      <c r="C90" s="47"/>
      <c r="D90" s="47"/>
    </row>
    <row r="91" spans="1:4" ht="12.75" customHeight="1">
      <c r="A91" s="47"/>
      <c r="B91" s="47"/>
      <c r="C91" s="47"/>
      <c r="D91" s="47"/>
    </row>
    <row r="92" spans="1:4" ht="12.75" customHeight="1">
      <c r="A92" s="47"/>
      <c r="B92" s="47"/>
      <c r="C92" s="47"/>
      <c r="D92" s="47"/>
    </row>
    <row r="93" spans="1:4" ht="12.75" customHeight="1">
      <c r="A93" s="47"/>
      <c r="B93" s="47"/>
      <c r="C93" s="47"/>
      <c r="D93" s="47"/>
    </row>
    <row r="94" spans="1:4" ht="12.75" customHeight="1">
      <c r="A94" s="47"/>
      <c r="B94" s="47"/>
      <c r="C94" s="47"/>
      <c r="D94" s="47"/>
    </row>
    <row r="95" spans="1:4" ht="12.75" customHeight="1">
      <c r="A95" s="47"/>
      <c r="B95" s="47"/>
      <c r="C95" s="47"/>
      <c r="D95" s="47"/>
    </row>
    <row r="96" spans="1:4" ht="12.75" customHeight="1">
      <c r="A96" s="47"/>
      <c r="B96" s="47"/>
      <c r="C96" s="47"/>
      <c r="D96" s="47"/>
    </row>
    <row r="97" spans="1:4" ht="12.75" customHeight="1">
      <c r="A97" s="47"/>
      <c r="B97" s="47"/>
      <c r="C97" s="47"/>
      <c r="D97" s="47"/>
    </row>
    <row r="98" spans="1:4" ht="12.75" customHeight="1">
      <c r="A98" s="47"/>
      <c r="B98" s="47"/>
      <c r="C98" s="47"/>
      <c r="D98" s="47"/>
    </row>
    <row r="99" spans="1:4" ht="12.75" customHeight="1">
      <c r="A99" s="47"/>
      <c r="B99" s="47"/>
      <c r="C99" s="47"/>
      <c r="D99" s="47"/>
    </row>
    <row r="100" spans="1:4" ht="12.75" customHeight="1">
      <c r="A100" s="47"/>
      <c r="B100" s="47"/>
      <c r="C100" s="47"/>
      <c r="D100" s="47"/>
    </row>
    <row r="101" spans="1:4" ht="12.75" customHeight="1">
      <c r="A101" s="47"/>
      <c r="B101" s="47"/>
      <c r="C101" s="47"/>
      <c r="D101" s="47"/>
    </row>
  </sheetData>
  <mergeCells count="4">
    <mergeCell ref="A2:A3"/>
    <mergeCell ref="B2:B3"/>
    <mergeCell ref="C2:C3"/>
    <mergeCell ref="D2:E2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52" enableFormatConditionsCalculation="0">
    <tabColor rgb="FFC4FCDF"/>
  </sheetPr>
  <dimension ref="A1:P62"/>
  <sheetViews>
    <sheetView showGridLines="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/>
  <cols>
    <col min="1" max="1" width="34.140625" style="20" customWidth="1"/>
    <col min="2" max="2" width="3.140625" style="48" customWidth="1"/>
    <col min="3" max="5" width="10.7109375" style="20" customWidth="1"/>
    <col min="6" max="10" width="8.7109375" style="20" customWidth="1"/>
    <col min="11" max="11" width="9.85546875" style="20" customWidth="1"/>
    <col min="12" max="12" width="9.85546875" style="20" bestFit="1" customWidth="1"/>
    <col min="13" max="14" width="9.85546875" style="20" customWidth="1"/>
    <col min="15" max="15" width="9.5703125" style="20" customWidth="1"/>
    <col min="16" max="16" width="9.85546875" style="20" customWidth="1"/>
    <col min="17" max="19" width="9.5703125" style="20" customWidth="1"/>
    <col min="20" max="20" width="9.85546875" style="20" customWidth="1"/>
    <col min="21" max="23" width="9.5703125" style="20" customWidth="1"/>
    <col min="24" max="25" width="9.85546875" style="20" customWidth="1"/>
    <col min="26" max="16384" width="9.140625" style="20"/>
  </cols>
  <sheetData>
    <row r="1" spans="1:10" ht="13.5">
      <c r="A1" s="91" t="str">
        <f>MEAB7&amp;" - "&amp;Date</f>
        <v xml:space="preserve"> - Supporting Table SE3   Adjustments Budget  - investment Portfolio - </v>
      </c>
    </row>
    <row r="2" spans="1:10">
      <c r="A2" s="440" t="s">
        <v>370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45"/>
    </row>
    <row r="3" spans="1:10" ht="25.5">
      <c r="A3" s="429"/>
      <c r="B3" s="427"/>
      <c r="C3" s="156" t="s">
        <v>309</v>
      </c>
      <c r="D3" s="441" t="s">
        <v>310</v>
      </c>
      <c r="E3" s="443" t="s">
        <v>142</v>
      </c>
      <c r="F3" s="436" t="s">
        <v>83</v>
      </c>
      <c r="G3" s="438" t="s">
        <v>311</v>
      </c>
      <c r="H3" s="211" t="s">
        <v>354</v>
      </c>
      <c r="I3" s="212"/>
      <c r="J3" s="213"/>
    </row>
    <row r="4" spans="1:10">
      <c r="A4" s="144" t="s">
        <v>199</v>
      </c>
      <c r="B4" s="118"/>
      <c r="C4" s="156" t="s">
        <v>313</v>
      </c>
      <c r="D4" s="442"/>
      <c r="E4" s="444"/>
      <c r="F4" s="437"/>
      <c r="G4" s="439"/>
      <c r="H4" s="157" t="s">
        <v>355</v>
      </c>
      <c r="I4" s="149" t="s">
        <v>288</v>
      </c>
      <c r="J4" s="151" t="s">
        <v>356</v>
      </c>
    </row>
    <row r="5" spans="1:10" ht="12.75" customHeight="1">
      <c r="A5" s="221"/>
      <c r="B5" s="259"/>
      <c r="C5" s="241"/>
      <c r="D5" s="215"/>
      <c r="E5" s="242"/>
      <c r="F5" s="214"/>
      <c r="G5" s="216"/>
      <c r="H5" s="241"/>
      <c r="I5" s="215"/>
      <c r="J5" s="216"/>
    </row>
    <row r="6" spans="1:10" ht="12.75" customHeight="1">
      <c r="A6" s="221"/>
      <c r="B6" s="259"/>
      <c r="C6" s="241"/>
      <c r="D6" s="215"/>
      <c r="E6" s="242"/>
      <c r="F6" s="214"/>
      <c r="G6" s="216"/>
      <c r="H6" s="241"/>
      <c r="I6" s="215"/>
      <c r="J6" s="216"/>
    </row>
    <row r="7" spans="1:10" ht="12.75" customHeight="1">
      <c r="A7" s="221"/>
      <c r="B7" s="259"/>
      <c r="C7" s="241"/>
      <c r="D7" s="215"/>
      <c r="E7" s="242"/>
      <c r="F7" s="214"/>
      <c r="G7" s="216"/>
      <c r="H7" s="241"/>
      <c r="I7" s="215"/>
      <c r="J7" s="216"/>
    </row>
    <row r="8" spans="1:10" ht="12.75" customHeight="1">
      <c r="A8" s="221"/>
      <c r="B8" s="259"/>
      <c r="C8" s="241"/>
      <c r="D8" s="215"/>
      <c r="E8" s="242"/>
      <c r="F8" s="214"/>
      <c r="G8" s="216"/>
      <c r="H8" s="241"/>
      <c r="I8" s="215"/>
      <c r="J8" s="216"/>
    </row>
    <row r="9" spans="1:10" ht="12.75" customHeight="1">
      <c r="A9" s="221"/>
      <c r="B9" s="259"/>
      <c r="C9" s="241"/>
      <c r="D9" s="215"/>
      <c r="E9" s="242"/>
      <c r="F9" s="214"/>
      <c r="G9" s="216"/>
      <c r="H9" s="241"/>
      <c r="I9" s="215"/>
      <c r="J9" s="216"/>
    </row>
    <row r="10" spans="1:10" ht="12.75" customHeight="1">
      <c r="A10" s="221"/>
      <c r="B10" s="259"/>
      <c r="C10" s="241"/>
      <c r="D10" s="215"/>
      <c r="E10" s="242"/>
      <c r="F10" s="214"/>
      <c r="G10" s="216"/>
      <c r="H10" s="241"/>
      <c r="I10" s="215"/>
      <c r="J10" s="216"/>
    </row>
    <row r="11" spans="1:10" ht="12.75" customHeight="1">
      <c r="A11" s="221"/>
      <c r="B11" s="259"/>
      <c r="C11" s="241"/>
      <c r="D11" s="215"/>
      <c r="E11" s="242"/>
      <c r="F11" s="214"/>
      <c r="G11" s="216"/>
      <c r="H11" s="241"/>
      <c r="I11" s="215"/>
      <c r="J11" s="216"/>
    </row>
    <row r="12" spans="1:10" ht="12.75" customHeight="1">
      <c r="A12" s="221"/>
      <c r="B12" s="259"/>
      <c r="C12" s="241"/>
      <c r="D12" s="215"/>
      <c r="E12" s="242"/>
      <c r="F12" s="214"/>
      <c r="G12" s="216"/>
      <c r="H12" s="241"/>
      <c r="I12" s="215"/>
      <c r="J12" s="216"/>
    </row>
    <row r="13" spans="1:10" ht="12.75" customHeight="1">
      <c r="A13" s="221"/>
      <c r="B13" s="259"/>
      <c r="C13" s="241"/>
      <c r="D13" s="215"/>
      <c r="E13" s="242"/>
      <c r="F13" s="214"/>
      <c r="G13" s="216"/>
      <c r="H13" s="241"/>
      <c r="I13" s="215"/>
      <c r="J13" s="216"/>
    </row>
    <row r="14" spans="1:10" ht="12.75" customHeight="1">
      <c r="A14" s="221"/>
      <c r="B14" s="259"/>
      <c r="C14" s="241"/>
      <c r="D14" s="215"/>
      <c r="E14" s="242"/>
      <c r="F14" s="214"/>
      <c r="G14" s="216"/>
      <c r="H14" s="241"/>
      <c r="I14" s="215"/>
      <c r="J14" s="216"/>
    </row>
    <row r="15" spans="1:10" ht="12.75" customHeight="1">
      <c r="A15" s="221"/>
      <c r="B15" s="259"/>
      <c r="C15" s="241"/>
      <c r="D15" s="215"/>
      <c r="E15" s="242"/>
      <c r="F15" s="214"/>
      <c r="G15" s="216"/>
      <c r="H15" s="241"/>
      <c r="I15" s="215"/>
      <c r="J15" s="216"/>
    </row>
    <row r="16" spans="1:10" ht="12.75" customHeight="1">
      <c r="A16" s="221"/>
      <c r="B16" s="259"/>
      <c r="C16" s="241"/>
      <c r="D16" s="215"/>
      <c r="E16" s="242"/>
      <c r="F16" s="214"/>
      <c r="G16" s="216"/>
      <c r="H16" s="241"/>
      <c r="I16" s="215"/>
      <c r="J16" s="216"/>
    </row>
    <row r="17" spans="1:16" ht="12.75" customHeight="1">
      <c r="A17" s="221"/>
      <c r="B17" s="259"/>
      <c r="C17" s="241"/>
      <c r="D17" s="215"/>
      <c r="E17" s="242"/>
      <c r="F17" s="214"/>
      <c r="G17" s="216"/>
      <c r="H17" s="241"/>
      <c r="I17" s="215"/>
      <c r="J17" s="216"/>
    </row>
    <row r="18" spans="1:16" ht="12.75" customHeight="1">
      <c r="A18" s="221"/>
      <c r="B18" s="259"/>
      <c r="C18" s="241"/>
      <c r="D18" s="215"/>
      <c r="E18" s="242"/>
      <c r="F18" s="214"/>
      <c r="G18" s="216"/>
      <c r="H18" s="241"/>
      <c r="I18" s="215"/>
      <c r="J18" s="216"/>
    </row>
    <row r="19" spans="1:16" ht="12.75" customHeight="1">
      <c r="A19" s="221"/>
      <c r="B19" s="259"/>
      <c r="C19" s="241"/>
      <c r="D19" s="215"/>
      <c r="E19" s="242"/>
      <c r="F19" s="214"/>
      <c r="G19" s="216"/>
      <c r="H19" s="241"/>
      <c r="I19" s="215"/>
      <c r="J19" s="216"/>
    </row>
    <row r="20" spans="1:16" ht="12.75" customHeight="1">
      <c r="A20" s="221"/>
      <c r="B20" s="259"/>
      <c r="C20" s="241"/>
      <c r="D20" s="215"/>
      <c r="E20" s="242"/>
      <c r="F20" s="214"/>
      <c r="G20" s="216"/>
      <c r="H20" s="241"/>
      <c r="I20" s="215"/>
      <c r="J20" s="216"/>
    </row>
    <row r="21" spans="1:16" ht="12.75" customHeight="1">
      <c r="A21" s="221"/>
      <c r="B21" s="259"/>
      <c r="C21" s="241"/>
      <c r="D21" s="215"/>
      <c r="E21" s="242"/>
      <c r="F21" s="214"/>
      <c r="G21" s="216"/>
      <c r="H21" s="241"/>
      <c r="I21" s="215"/>
      <c r="J21" s="216"/>
    </row>
    <row r="22" spans="1:16" ht="12.75" customHeight="1">
      <c r="A22" s="221"/>
      <c r="B22" s="259"/>
      <c r="C22" s="241"/>
      <c r="D22" s="215"/>
      <c r="E22" s="242"/>
      <c r="F22" s="214"/>
      <c r="G22" s="216"/>
      <c r="H22" s="241"/>
      <c r="I22" s="215"/>
      <c r="J22" s="216"/>
    </row>
    <row r="23" spans="1:16" ht="12.75" customHeight="1">
      <c r="A23" s="221"/>
      <c r="B23" s="259"/>
      <c r="C23" s="241"/>
      <c r="D23" s="215"/>
      <c r="E23" s="242"/>
      <c r="F23" s="214"/>
      <c r="G23" s="216"/>
      <c r="H23" s="241"/>
      <c r="I23" s="215"/>
      <c r="J23" s="216"/>
    </row>
    <row r="24" spans="1:16" ht="12.75" customHeight="1">
      <c r="A24" s="35" t="s">
        <v>365</v>
      </c>
      <c r="B24" s="116">
        <v>2</v>
      </c>
      <c r="C24" s="391"/>
      <c r="D24" s="392"/>
      <c r="E24" s="393"/>
      <c r="F24" s="37">
        <f>SUM(F5:F19)</f>
        <v>0</v>
      </c>
      <c r="G24" s="390"/>
      <c r="H24" s="124">
        <f>SUM(H5:H19)</f>
        <v>0</v>
      </c>
      <c r="I24" s="36">
        <f>SUM(I5:I19)</f>
        <v>0</v>
      </c>
      <c r="J24" s="115">
        <f>SUM(J5:J19)</f>
        <v>0</v>
      </c>
    </row>
    <row r="25" spans="1:16" ht="12.75" customHeight="1">
      <c r="A25" s="38" t="str">
        <f>head27a</f>
        <v>References</v>
      </c>
      <c r="B25" s="39"/>
      <c r="C25" s="58"/>
      <c r="D25" s="58"/>
      <c r="E25" s="58"/>
      <c r="F25" s="58"/>
      <c r="G25" s="58"/>
      <c r="H25" s="58"/>
      <c r="I25" s="58"/>
      <c r="J25" s="58"/>
      <c r="N25" s="47"/>
      <c r="O25" s="47"/>
      <c r="P25" s="47"/>
    </row>
    <row r="26" spans="1:16" ht="12.75" customHeight="1">
      <c r="A26" s="54" t="s">
        <v>366</v>
      </c>
      <c r="B26" s="39"/>
      <c r="C26" s="58"/>
      <c r="D26" s="58"/>
      <c r="E26" s="58"/>
      <c r="F26" s="58"/>
      <c r="G26" s="58"/>
      <c r="H26" s="58"/>
      <c r="I26" s="58"/>
      <c r="J26" s="58"/>
      <c r="N26" s="47"/>
      <c r="O26" s="47"/>
      <c r="P26" s="47"/>
    </row>
    <row r="27" spans="1:16" ht="11.25" customHeight="1">
      <c r="A27" s="83"/>
      <c r="B27" s="39"/>
      <c r="C27" s="43"/>
      <c r="D27" s="42"/>
      <c r="E27" s="43"/>
      <c r="F27" s="43"/>
      <c r="G27" s="43"/>
      <c r="H27" s="43"/>
      <c r="I27" s="43"/>
      <c r="J27" s="43"/>
    </row>
    <row r="28" spans="1:16" ht="11.25" customHeight="1">
      <c r="A28" s="56"/>
      <c r="B28" s="39"/>
      <c r="C28" s="58"/>
      <c r="D28" s="58"/>
      <c r="E28" s="58"/>
      <c r="F28" s="58"/>
      <c r="G28" s="58"/>
      <c r="H28" s="58"/>
      <c r="I28" s="58"/>
      <c r="J28" s="58"/>
    </row>
    <row r="29" spans="1:16" ht="11.25" customHeight="1"/>
    <row r="30" spans="1:16" ht="11.25" customHeight="1"/>
    <row r="31" spans="1:16" ht="11.25" customHeight="1"/>
    <row r="32" spans="1:16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</sheetData>
  <mergeCells count="7">
    <mergeCell ref="F3:F4"/>
    <mergeCell ref="G3:G4"/>
    <mergeCell ref="A2:A3"/>
    <mergeCell ref="B2:B3"/>
    <mergeCell ref="D3:D4"/>
    <mergeCell ref="E3:E4"/>
    <mergeCell ref="C2:J2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53" enableFormatConditionsCalculation="0">
    <tabColor rgb="FFC4FCDF"/>
  </sheetPr>
  <dimension ref="A1:O137"/>
  <sheetViews>
    <sheetView showGridLines="0" workbookViewId="0">
      <pane xSplit="2" ySplit="5" topLeftCell="C39" activePane="bottomRight" state="frozen"/>
      <selection pane="topRight"/>
      <selection pane="bottomLeft"/>
      <selection pane="bottomRight"/>
    </sheetView>
  </sheetViews>
  <sheetFormatPr defaultRowHeight="12.75"/>
  <cols>
    <col min="1" max="1" width="30.7109375" style="20" customWidth="1"/>
    <col min="2" max="2" width="3.140625" style="48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>
      <c r="A1" s="19" t="str">
        <f>MEAB8&amp;" - "&amp;Date</f>
        <v xml:space="preserve"> - Supporting Table SE4   Adjustments Budget  - board member allowances and staff benefits - </v>
      </c>
    </row>
    <row r="2" spans="1:12" ht="38.25">
      <c r="A2" s="446" t="s">
        <v>358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2" ht="25.5">
      <c r="A3" s="447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2">
      <c r="A4" s="447"/>
      <c r="B4" s="427"/>
      <c r="C4" s="199"/>
      <c r="D4" s="200">
        <v>3</v>
      </c>
      <c r="E4" s="200">
        <v>4</v>
      </c>
      <c r="F4" s="200">
        <v>5</v>
      </c>
      <c r="G4" s="200">
        <v>6</v>
      </c>
      <c r="H4" s="200">
        <v>7</v>
      </c>
      <c r="I4" s="200">
        <v>8</v>
      </c>
      <c r="J4" s="200">
        <v>9</v>
      </c>
      <c r="K4" s="131"/>
      <c r="L4" s="132"/>
    </row>
    <row r="5" spans="1:12">
      <c r="A5" s="22" t="s">
        <v>199</v>
      </c>
      <c r="B5" s="74"/>
      <c r="C5" s="201" t="s">
        <v>111</v>
      </c>
      <c r="D5" s="202" t="s">
        <v>325</v>
      </c>
      <c r="E5" s="202" t="s">
        <v>81</v>
      </c>
      <c r="F5" s="202" t="s">
        <v>37</v>
      </c>
      <c r="G5" s="204" t="s">
        <v>139</v>
      </c>
      <c r="H5" s="204" t="s">
        <v>12</v>
      </c>
      <c r="I5" s="204" t="s">
        <v>13</v>
      </c>
      <c r="J5" s="204" t="s">
        <v>14</v>
      </c>
      <c r="K5" s="134"/>
      <c r="L5" s="173"/>
    </row>
    <row r="6" spans="1:12">
      <c r="A6" s="168" t="s">
        <v>203</v>
      </c>
      <c r="B6" s="94"/>
      <c r="C6" s="30"/>
      <c r="D6" s="29"/>
      <c r="E6" s="29"/>
      <c r="F6" s="29"/>
      <c r="G6" s="29"/>
      <c r="H6" s="29"/>
      <c r="I6" s="29"/>
      <c r="J6" s="29"/>
      <c r="K6" s="29"/>
      <c r="L6" s="86"/>
    </row>
    <row r="7" spans="1:12" ht="12.75" customHeight="1">
      <c r="A7" s="60" t="s">
        <v>448</v>
      </c>
      <c r="B7" s="94"/>
      <c r="C7" s="30"/>
      <c r="D7" s="29"/>
      <c r="E7" s="29"/>
      <c r="F7" s="29"/>
      <c r="G7" s="29"/>
      <c r="H7" s="29"/>
      <c r="I7" s="29"/>
      <c r="J7" s="29"/>
      <c r="K7" s="29"/>
      <c r="L7" s="87"/>
    </row>
    <row r="8" spans="1:12" ht="12.75" customHeight="1">
      <c r="A8" s="26" t="s">
        <v>449</v>
      </c>
      <c r="B8" s="94"/>
      <c r="C8" s="214"/>
      <c r="D8" s="215"/>
      <c r="E8" s="215"/>
      <c r="F8" s="215"/>
      <c r="G8" s="215"/>
      <c r="H8" s="215"/>
      <c r="I8" s="29">
        <f>SUM(E8:H8)</f>
        <v>0</v>
      </c>
      <c r="J8" s="29">
        <f>IF(D8=0,C8+I8,D8+I8)</f>
        <v>0</v>
      </c>
      <c r="K8" s="215"/>
      <c r="L8" s="216"/>
    </row>
    <row r="9" spans="1:12" ht="12.75" customHeight="1">
      <c r="A9" s="26" t="s">
        <v>450</v>
      </c>
      <c r="B9" s="94"/>
      <c r="C9" s="214"/>
      <c r="D9" s="215"/>
      <c r="E9" s="215"/>
      <c r="F9" s="215"/>
      <c r="G9" s="215"/>
      <c r="H9" s="215"/>
      <c r="I9" s="29">
        <f t="shared" ref="I9:I16" si="0">SUM(E9:H9)</f>
        <v>0</v>
      </c>
      <c r="J9" s="29">
        <f t="shared" ref="J9:J16" si="1">IF(D9=0,C9+I9,D9+I9)</f>
        <v>0</v>
      </c>
      <c r="K9" s="215"/>
      <c r="L9" s="216"/>
    </row>
    <row r="10" spans="1:12" ht="12.75" customHeight="1">
      <c r="A10" s="26" t="s">
        <v>451</v>
      </c>
      <c r="B10" s="94"/>
      <c r="C10" s="214"/>
      <c r="D10" s="215"/>
      <c r="E10" s="215"/>
      <c r="F10" s="215"/>
      <c r="G10" s="215"/>
      <c r="H10" s="215"/>
      <c r="I10" s="29">
        <f t="shared" si="0"/>
        <v>0</v>
      </c>
      <c r="J10" s="29">
        <f t="shared" si="1"/>
        <v>0</v>
      </c>
      <c r="K10" s="215"/>
      <c r="L10" s="216"/>
    </row>
    <row r="11" spans="1:12" ht="12.75" customHeight="1">
      <c r="A11" s="274" t="s">
        <v>552</v>
      </c>
      <c r="B11" s="94"/>
      <c r="C11" s="214"/>
      <c r="D11" s="215"/>
      <c r="E11" s="215"/>
      <c r="F11" s="215"/>
      <c r="G11" s="215"/>
      <c r="H11" s="215"/>
      <c r="I11" s="29">
        <f t="shared" si="0"/>
        <v>0</v>
      </c>
      <c r="J11" s="29">
        <f t="shared" si="1"/>
        <v>0</v>
      </c>
      <c r="K11" s="215"/>
      <c r="L11" s="216"/>
    </row>
    <row r="12" spans="1:12" ht="12.75" customHeight="1">
      <c r="A12" s="274" t="s">
        <v>554</v>
      </c>
      <c r="B12" s="94"/>
      <c r="C12" s="214"/>
      <c r="D12" s="215"/>
      <c r="E12" s="215"/>
      <c r="F12" s="215"/>
      <c r="G12" s="215"/>
      <c r="H12" s="215"/>
      <c r="I12" s="29">
        <f>SUM(E12:H12)</f>
        <v>0</v>
      </c>
      <c r="J12" s="29">
        <f>IF(D12=0,C12+I12,D12+I12)</f>
        <v>0</v>
      </c>
      <c r="K12" s="215"/>
      <c r="L12" s="216"/>
    </row>
    <row r="13" spans="1:12" ht="12.75" customHeight="1">
      <c r="A13" s="26" t="s">
        <v>452</v>
      </c>
      <c r="B13" s="94"/>
      <c r="C13" s="214"/>
      <c r="D13" s="215"/>
      <c r="E13" s="215"/>
      <c r="F13" s="215"/>
      <c r="G13" s="215"/>
      <c r="H13" s="215"/>
      <c r="I13" s="29">
        <f>SUM(E13:H13)</f>
        <v>0</v>
      </c>
      <c r="J13" s="29">
        <f>IF(D13=0,C13+I13,D13+I13)</f>
        <v>0</v>
      </c>
      <c r="K13" s="215"/>
      <c r="L13" s="216"/>
    </row>
    <row r="14" spans="1:12" ht="12.75" customHeight="1">
      <c r="A14" s="26" t="s">
        <v>553</v>
      </c>
      <c r="B14" s="94"/>
      <c r="C14" s="214">
        <v>88000</v>
      </c>
      <c r="D14" s="215"/>
      <c r="E14" s="215"/>
      <c r="F14" s="215"/>
      <c r="G14" s="215"/>
      <c r="H14" s="215"/>
      <c r="I14" s="29">
        <f>SUM(E14:H14)</f>
        <v>0</v>
      </c>
      <c r="J14" s="29">
        <f>IF(D14=0,C14+I14,D14+I14)</f>
        <v>88000</v>
      </c>
      <c r="K14" s="215">
        <v>101000</v>
      </c>
      <c r="L14" s="216">
        <v>111100</v>
      </c>
    </row>
    <row r="15" spans="1:12" ht="12.75" customHeight="1">
      <c r="A15" s="26" t="s">
        <v>453</v>
      </c>
      <c r="B15" s="94"/>
      <c r="C15" s="214"/>
      <c r="D15" s="215"/>
      <c r="E15" s="215"/>
      <c r="F15" s="215"/>
      <c r="G15" s="215"/>
      <c r="H15" s="215"/>
      <c r="I15" s="29">
        <f t="shared" si="0"/>
        <v>0</v>
      </c>
      <c r="J15" s="29">
        <f t="shared" si="1"/>
        <v>0</v>
      </c>
      <c r="K15" s="215"/>
      <c r="L15" s="216"/>
    </row>
    <row r="16" spans="1:12" ht="12.75" customHeight="1">
      <c r="A16" s="26" t="s">
        <v>454</v>
      </c>
      <c r="B16" s="94">
        <v>1</v>
      </c>
      <c r="C16" s="214">
        <f>230000+38000</f>
        <v>268000</v>
      </c>
      <c r="D16" s="215"/>
      <c r="E16" s="215"/>
      <c r="F16" s="215"/>
      <c r="G16" s="215"/>
      <c r="H16" s="215"/>
      <c r="I16" s="29">
        <f t="shared" si="0"/>
        <v>0</v>
      </c>
      <c r="J16" s="29">
        <f t="shared" si="1"/>
        <v>268000</v>
      </c>
      <c r="K16" s="215">
        <v>294800</v>
      </c>
      <c r="L16" s="216">
        <v>324280</v>
      </c>
    </row>
    <row r="17" spans="1:12" ht="12.75" customHeight="1">
      <c r="A17" s="60" t="s">
        <v>455</v>
      </c>
      <c r="B17" s="94"/>
      <c r="C17" s="50">
        <f t="shared" ref="C17:L17" si="2">SUM(C8:C16)</f>
        <v>356000</v>
      </c>
      <c r="D17" s="49">
        <f t="shared" si="2"/>
        <v>0</v>
      </c>
      <c r="E17" s="49">
        <f t="shared" si="2"/>
        <v>0</v>
      </c>
      <c r="F17" s="49">
        <f t="shared" si="2"/>
        <v>0</v>
      </c>
      <c r="G17" s="49">
        <f t="shared" si="2"/>
        <v>0</v>
      </c>
      <c r="H17" s="49">
        <f t="shared" si="2"/>
        <v>0</v>
      </c>
      <c r="I17" s="49">
        <f t="shared" si="2"/>
        <v>0</v>
      </c>
      <c r="J17" s="49">
        <f t="shared" si="2"/>
        <v>356000</v>
      </c>
      <c r="K17" s="49">
        <f t="shared" si="2"/>
        <v>395800</v>
      </c>
      <c r="L17" s="88">
        <f t="shared" si="2"/>
        <v>435380</v>
      </c>
    </row>
    <row r="18" spans="1:12" ht="12.75" customHeight="1">
      <c r="A18" s="60" t="s">
        <v>456</v>
      </c>
      <c r="B18" s="94"/>
      <c r="C18" s="409"/>
      <c r="D18" s="410"/>
      <c r="E18" s="410"/>
      <c r="F18" s="410"/>
      <c r="G18" s="410"/>
      <c r="H18" s="410"/>
      <c r="I18" s="410"/>
      <c r="J18" s="407">
        <f>IF(ISERROR((J17-C17)/C17),0,((J17-C17)/C17))</f>
        <v>0</v>
      </c>
      <c r="K18" s="407">
        <f>IF(ISERROR((K17-J17)/J17),0,((K17-J17)/J17))</f>
        <v>0.11179775280898877</v>
      </c>
      <c r="L18" s="408">
        <f>IF(ISERROR((L17-K17)/K17),0,((L17-K17)/K17))</f>
        <v>0.1</v>
      </c>
    </row>
    <row r="19" spans="1:12" ht="5.0999999999999996" customHeight="1">
      <c r="A19" s="27"/>
      <c r="B19" s="94"/>
      <c r="C19" s="30"/>
      <c r="D19" s="29"/>
      <c r="E19" s="29"/>
      <c r="F19" s="29"/>
      <c r="G19" s="29"/>
      <c r="H19" s="29"/>
      <c r="I19" s="29"/>
      <c r="J19" s="29"/>
      <c r="K19" s="29"/>
      <c r="L19" s="87"/>
    </row>
    <row r="20" spans="1:12" ht="12.75" customHeight="1">
      <c r="A20" s="60" t="s">
        <v>457</v>
      </c>
      <c r="B20" s="94">
        <v>2</v>
      </c>
      <c r="C20" s="30"/>
      <c r="D20" s="29"/>
      <c r="E20" s="29"/>
      <c r="F20" s="29"/>
      <c r="G20" s="29"/>
      <c r="H20" s="29"/>
      <c r="I20" s="29"/>
      <c r="J20" s="29"/>
      <c r="K20" s="29"/>
      <c r="L20" s="87"/>
    </row>
    <row r="21" spans="1:12" ht="12.75" customHeight="1">
      <c r="A21" s="26" t="s">
        <v>449</v>
      </c>
      <c r="B21" s="94"/>
      <c r="C21" s="214">
        <v>975833</v>
      </c>
      <c r="D21" s="215"/>
      <c r="E21" s="215"/>
      <c r="F21" s="215"/>
      <c r="G21" s="215"/>
      <c r="H21" s="215"/>
      <c r="I21" s="29">
        <f t="shared" ref="I21:I29" si="3">SUM(E21:H21)</f>
        <v>0</v>
      </c>
      <c r="J21" s="29">
        <f t="shared" ref="J21:J29" si="4">IF(D21=0,C21+I21,D21+I21)</f>
        <v>975833</v>
      </c>
      <c r="K21" s="215">
        <v>1044142</v>
      </c>
      <c r="L21" s="216">
        <v>1117232</v>
      </c>
    </row>
    <row r="22" spans="1:12" ht="12.75" customHeight="1">
      <c r="A22" s="26" t="s">
        <v>450</v>
      </c>
      <c r="B22" s="94"/>
      <c r="C22" s="214"/>
      <c r="D22" s="215"/>
      <c r="E22" s="215"/>
      <c r="F22" s="215"/>
      <c r="G22" s="215"/>
      <c r="H22" s="215"/>
      <c r="I22" s="29">
        <f t="shared" si="3"/>
        <v>0</v>
      </c>
      <c r="J22" s="29">
        <f t="shared" si="4"/>
        <v>0</v>
      </c>
      <c r="K22" s="215"/>
      <c r="L22" s="216"/>
    </row>
    <row r="23" spans="1:12" ht="12.75" customHeight="1">
      <c r="A23" s="26" t="s">
        <v>451</v>
      </c>
      <c r="B23" s="94"/>
      <c r="C23" s="214"/>
      <c r="D23" s="215"/>
      <c r="E23" s="215"/>
      <c r="F23" s="215"/>
      <c r="G23" s="215"/>
      <c r="H23" s="215"/>
      <c r="I23" s="29">
        <f t="shared" si="3"/>
        <v>0</v>
      </c>
      <c r="J23" s="29">
        <f t="shared" si="4"/>
        <v>0</v>
      </c>
      <c r="K23" s="215"/>
      <c r="L23" s="216"/>
    </row>
    <row r="24" spans="1:12" ht="12.75" customHeight="1">
      <c r="A24" s="274" t="s">
        <v>552</v>
      </c>
      <c r="B24" s="94"/>
      <c r="C24" s="214"/>
      <c r="D24" s="215"/>
      <c r="E24" s="215"/>
      <c r="F24" s="215"/>
      <c r="G24" s="215"/>
      <c r="H24" s="215"/>
      <c r="I24" s="29">
        <f t="shared" si="3"/>
        <v>0</v>
      </c>
      <c r="J24" s="29">
        <f t="shared" si="4"/>
        <v>0</v>
      </c>
      <c r="K24" s="215"/>
      <c r="L24" s="216"/>
    </row>
    <row r="25" spans="1:12" ht="12.75" customHeight="1">
      <c r="A25" s="274" t="s">
        <v>554</v>
      </c>
      <c r="B25" s="94"/>
      <c r="C25" s="214"/>
      <c r="D25" s="215"/>
      <c r="E25" s="215"/>
      <c r="F25" s="215"/>
      <c r="G25" s="215"/>
      <c r="H25" s="215"/>
      <c r="I25" s="29">
        <f>SUM(E25:H25)</f>
        <v>0</v>
      </c>
      <c r="J25" s="29">
        <f>IF(D25=0,C25+I25,D25+I25)</f>
        <v>0</v>
      </c>
      <c r="K25" s="215"/>
      <c r="L25" s="216"/>
    </row>
    <row r="26" spans="1:12" ht="12.75" customHeight="1">
      <c r="A26" s="26" t="s">
        <v>452</v>
      </c>
      <c r="B26" s="94"/>
      <c r="C26" s="214"/>
      <c r="D26" s="215"/>
      <c r="E26" s="215"/>
      <c r="F26" s="215"/>
      <c r="G26" s="215"/>
      <c r="H26" s="215"/>
      <c r="I26" s="29">
        <f t="shared" si="3"/>
        <v>0</v>
      </c>
      <c r="J26" s="29">
        <f t="shared" si="4"/>
        <v>0</v>
      </c>
      <c r="K26" s="215"/>
      <c r="L26" s="216"/>
    </row>
    <row r="27" spans="1:12" ht="12.75" customHeight="1">
      <c r="A27" s="26" t="s">
        <v>458</v>
      </c>
      <c r="B27" s="94"/>
      <c r="C27" s="214"/>
      <c r="D27" s="215"/>
      <c r="E27" s="215"/>
      <c r="F27" s="215"/>
      <c r="G27" s="215"/>
      <c r="H27" s="215"/>
      <c r="I27" s="29">
        <f t="shared" si="3"/>
        <v>0</v>
      </c>
      <c r="J27" s="29">
        <f t="shared" si="4"/>
        <v>0</v>
      </c>
      <c r="K27" s="215"/>
      <c r="L27" s="216"/>
    </row>
    <row r="28" spans="1:12" ht="12.75" customHeight="1">
      <c r="A28" s="26" t="s">
        <v>459</v>
      </c>
      <c r="B28" s="94"/>
      <c r="C28" s="214">
        <v>97775</v>
      </c>
      <c r="D28" s="215"/>
      <c r="E28" s="215"/>
      <c r="F28" s="215"/>
      <c r="G28" s="215"/>
      <c r="H28" s="215"/>
      <c r="I28" s="29">
        <f t="shared" si="3"/>
        <v>0</v>
      </c>
      <c r="J28" s="29">
        <f t="shared" si="4"/>
        <v>97775</v>
      </c>
      <c r="K28" s="215">
        <v>107553</v>
      </c>
      <c r="L28" s="216">
        <v>118308</v>
      </c>
    </row>
    <row r="29" spans="1:12" ht="12.75" customHeight="1">
      <c r="A29" s="26" t="s">
        <v>453</v>
      </c>
      <c r="B29" s="94">
        <v>1</v>
      </c>
      <c r="C29" s="214"/>
      <c r="D29" s="215"/>
      <c r="E29" s="215"/>
      <c r="F29" s="215"/>
      <c r="G29" s="215"/>
      <c r="H29" s="215"/>
      <c r="I29" s="29">
        <f t="shared" si="3"/>
        <v>0</v>
      </c>
      <c r="J29" s="29">
        <f t="shared" si="4"/>
        <v>0</v>
      </c>
      <c r="K29" s="215"/>
      <c r="L29" s="216"/>
    </row>
    <row r="30" spans="1:12" ht="12.75" customHeight="1">
      <c r="A30" s="60" t="s">
        <v>460</v>
      </c>
      <c r="B30" s="94"/>
      <c r="C30" s="50">
        <f t="shared" ref="C30:L30" si="5">SUM(C21:C28)</f>
        <v>1073608</v>
      </c>
      <c r="D30" s="49">
        <f t="shared" si="5"/>
        <v>0</v>
      </c>
      <c r="E30" s="49">
        <f t="shared" si="5"/>
        <v>0</v>
      </c>
      <c r="F30" s="49">
        <f t="shared" si="5"/>
        <v>0</v>
      </c>
      <c r="G30" s="49">
        <f>SUM(G21:G28)</f>
        <v>0</v>
      </c>
      <c r="H30" s="49">
        <f t="shared" si="5"/>
        <v>0</v>
      </c>
      <c r="I30" s="49">
        <f t="shared" si="5"/>
        <v>0</v>
      </c>
      <c r="J30" s="49">
        <f t="shared" si="5"/>
        <v>1073608</v>
      </c>
      <c r="K30" s="49">
        <f t="shared" si="5"/>
        <v>1151695</v>
      </c>
      <c r="L30" s="88">
        <f t="shared" si="5"/>
        <v>1235540</v>
      </c>
    </row>
    <row r="31" spans="1:12" ht="12.75" customHeight="1">
      <c r="A31" s="60" t="s">
        <v>456</v>
      </c>
      <c r="B31" s="94"/>
      <c r="C31" s="409"/>
      <c r="D31" s="410"/>
      <c r="E31" s="410"/>
      <c r="F31" s="410"/>
      <c r="G31" s="410"/>
      <c r="H31" s="410"/>
      <c r="I31" s="410"/>
      <c r="J31" s="407">
        <f>IF(ISERROR((J30-C30)/C30),0,((J30-C30)/C30))</f>
        <v>0</v>
      </c>
      <c r="K31" s="407">
        <f>IF(ISERROR((K30-J30)/J30),0,((K30-J30)/J30))</f>
        <v>7.2733250869963711E-2</v>
      </c>
      <c r="L31" s="408">
        <f>IF(ISERROR((L30-K30)/K30),0,((L30-K30)/K30))</f>
        <v>7.280139272984601E-2</v>
      </c>
    </row>
    <row r="32" spans="1:12" ht="5.0999999999999996" customHeight="1">
      <c r="A32" s="27"/>
      <c r="B32" s="94"/>
      <c r="C32" s="30"/>
      <c r="D32" s="29"/>
      <c r="E32" s="29"/>
      <c r="F32" s="29"/>
      <c r="G32" s="29"/>
      <c r="H32" s="29"/>
      <c r="I32" s="29"/>
      <c r="J32" s="29"/>
      <c r="K32" s="29"/>
      <c r="L32" s="87"/>
    </row>
    <row r="33" spans="1:12" ht="12.75" customHeight="1">
      <c r="A33" s="60" t="s">
        <v>461</v>
      </c>
      <c r="B33" s="94"/>
      <c r="C33" s="30"/>
      <c r="D33" s="29"/>
      <c r="E33" s="29"/>
      <c r="F33" s="29"/>
      <c r="G33" s="29"/>
      <c r="H33" s="29"/>
      <c r="I33" s="29"/>
      <c r="J33" s="29"/>
      <c r="K33" s="29"/>
      <c r="L33" s="87"/>
    </row>
    <row r="34" spans="1:12" ht="12.75" customHeight="1">
      <c r="A34" s="26" t="s">
        <v>449</v>
      </c>
      <c r="B34" s="94"/>
      <c r="C34" s="214">
        <f>2190248+60000+320959</f>
        <v>2571207</v>
      </c>
      <c r="D34" s="215"/>
      <c r="E34" s="215"/>
      <c r="F34" s="215"/>
      <c r="G34" s="215"/>
      <c r="H34" s="215"/>
      <c r="I34" s="29">
        <f t="shared" ref="I34:I43" si="6">SUM(E34:H34)</f>
        <v>0</v>
      </c>
      <c r="J34" s="29">
        <f t="shared" ref="J34:J43" si="7">IF(D34=0,C34+I34,D34+I34)</f>
        <v>2571207</v>
      </c>
      <c r="K34" s="215">
        <f>364537+2409565</f>
        <v>2774102</v>
      </c>
      <c r="L34" s="216">
        <f>390799+2580214</f>
        <v>2971013</v>
      </c>
    </row>
    <row r="35" spans="1:12" ht="12.75" customHeight="1">
      <c r="A35" s="26" t="s">
        <v>450</v>
      </c>
      <c r="B35" s="94"/>
      <c r="C35" s="214"/>
      <c r="D35" s="215"/>
      <c r="E35" s="215"/>
      <c r="F35" s="215"/>
      <c r="G35" s="215"/>
      <c r="H35" s="215"/>
      <c r="I35" s="29">
        <f t="shared" si="6"/>
        <v>0</v>
      </c>
      <c r="J35" s="29">
        <f t="shared" si="7"/>
        <v>0</v>
      </c>
      <c r="K35" s="215"/>
      <c r="L35" s="216"/>
    </row>
    <row r="36" spans="1:12" ht="12.75" customHeight="1">
      <c r="A36" s="26" t="s">
        <v>451</v>
      </c>
      <c r="B36" s="94"/>
      <c r="C36" s="214"/>
      <c r="D36" s="215"/>
      <c r="E36" s="215"/>
      <c r="F36" s="215"/>
      <c r="G36" s="215"/>
      <c r="H36" s="215"/>
      <c r="I36" s="29">
        <f t="shared" si="6"/>
        <v>0</v>
      </c>
      <c r="J36" s="29">
        <f t="shared" si="7"/>
        <v>0</v>
      </c>
      <c r="K36" s="215"/>
      <c r="L36" s="216"/>
    </row>
    <row r="37" spans="1:12" ht="12.75" customHeight="1">
      <c r="A37" s="274" t="s">
        <v>552</v>
      </c>
      <c r="B37" s="94"/>
      <c r="C37" s="214"/>
      <c r="D37" s="215"/>
      <c r="E37" s="215"/>
      <c r="F37" s="215"/>
      <c r="G37" s="215"/>
      <c r="H37" s="215"/>
      <c r="I37" s="29">
        <f t="shared" si="6"/>
        <v>0</v>
      </c>
      <c r="J37" s="29">
        <f t="shared" si="7"/>
        <v>0</v>
      </c>
      <c r="K37" s="215"/>
      <c r="L37" s="216"/>
    </row>
    <row r="38" spans="1:12" ht="12.75" customHeight="1">
      <c r="A38" s="274" t="s">
        <v>554</v>
      </c>
      <c r="B38" s="94"/>
      <c r="C38" s="214"/>
      <c r="D38" s="215"/>
      <c r="E38" s="215"/>
      <c r="F38" s="215"/>
      <c r="G38" s="215"/>
      <c r="H38" s="215"/>
      <c r="I38" s="29">
        <f>SUM(E38:H38)</f>
        <v>0</v>
      </c>
      <c r="J38" s="29">
        <f>IF(D38=0,C38+I38,D38+I38)</f>
        <v>0</v>
      </c>
      <c r="K38" s="215"/>
      <c r="L38" s="216"/>
    </row>
    <row r="39" spans="1:12" ht="12.75" customHeight="1">
      <c r="A39" s="26" t="s">
        <v>452</v>
      </c>
      <c r="B39" s="94"/>
      <c r="C39" s="214"/>
      <c r="D39" s="215"/>
      <c r="E39" s="215"/>
      <c r="F39" s="215"/>
      <c r="G39" s="215"/>
      <c r="H39" s="215"/>
      <c r="I39" s="29">
        <f t="shared" si="6"/>
        <v>0</v>
      </c>
      <c r="J39" s="29">
        <f t="shared" si="7"/>
        <v>0</v>
      </c>
      <c r="K39" s="215"/>
      <c r="L39" s="216"/>
    </row>
    <row r="40" spans="1:12" ht="12.75" customHeight="1">
      <c r="A40" s="26" t="s">
        <v>462</v>
      </c>
      <c r="B40" s="94"/>
      <c r="C40" s="214">
        <v>55000</v>
      </c>
      <c r="D40" s="215"/>
      <c r="E40" s="215"/>
      <c r="F40" s="215"/>
      <c r="G40" s="215"/>
      <c r="H40" s="215"/>
      <c r="I40" s="29">
        <f t="shared" si="6"/>
        <v>0</v>
      </c>
      <c r="J40" s="29">
        <f t="shared" si="7"/>
        <v>55000</v>
      </c>
      <c r="K40" s="215">
        <v>60500</v>
      </c>
      <c r="L40" s="216">
        <v>72823</v>
      </c>
    </row>
    <row r="41" spans="1:12" ht="12.75" customHeight="1">
      <c r="A41" s="26" t="s">
        <v>459</v>
      </c>
      <c r="B41" s="94"/>
      <c r="C41" s="214">
        <v>182361</v>
      </c>
      <c r="D41" s="215"/>
      <c r="E41" s="215"/>
      <c r="F41" s="215"/>
      <c r="G41" s="215"/>
      <c r="H41" s="215"/>
      <c r="I41" s="29">
        <f t="shared" si="6"/>
        <v>0</v>
      </c>
      <c r="J41" s="29">
        <f t="shared" si="7"/>
        <v>182361</v>
      </c>
      <c r="K41" s="215">
        <v>196761</v>
      </c>
      <c r="L41" s="216">
        <v>210534</v>
      </c>
    </row>
    <row r="42" spans="1:12" ht="12.75" customHeight="1">
      <c r="A42" s="26" t="s">
        <v>458</v>
      </c>
      <c r="B42" s="94"/>
      <c r="C42" s="214"/>
      <c r="D42" s="215"/>
      <c r="E42" s="215"/>
      <c r="F42" s="215"/>
      <c r="G42" s="215"/>
      <c r="H42" s="215"/>
      <c r="I42" s="29">
        <f t="shared" si="6"/>
        <v>0</v>
      </c>
      <c r="J42" s="29">
        <f t="shared" si="7"/>
        <v>0</v>
      </c>
      <c r="K42" s="215"/>
      <c r="L42" s="216"/>
    </row>
    <row r="43" spans="1:12" ht="12.75" customHeight="1">
      <c r="A43" s="26" t="s">
        <v>453</v>
      </c>
      <c r="B43" s="94">
        <v>1</v>
      </c>
      <c r="C43" s="214"/>
      <c r="D43" s="215"/>
      <c r="E43" s="215"/>
      <c r="F43" s="215"/>
      <c r="G43" s="215"/>
      <c r="H43" s="215"/>
      <c r="I43" s="29">
        <f t="shared" si="6"/>
        <v>0</v>
      </c>
      <c r="J43" s="29">
        <f t="shared" si="7"/>
        <v>0</v>
      </c>
      <c r="K43" s="215"/>
      <c r="L43" s="216"/>
    </row>
    <row r="44" spans="1:12" ht="12.75" customHeight="1">
      <c r="A44" s="60" t="s">
        <v>463</v>
      </c>
      <c r="B44" s="94"/>
      <c r="C44" s="50">
        <f t="shared" ref="C44:L44" si="8">SUM(C34:C42)</f>
        <v>2808568</v>
      </c>
      <c r="D44" s="49">
        <f t="shared" si="8"/>
        <v>0</v>
      </c>
      <c r="E44" s="49">
        <f t="shared" si="8"/>
        <v>0</v>
      </c>
      <c r="F44" s="49">
        <f t="shared" si="8"/>
        <v>0</v>
      </c>
      <c r="G44" s="49">
        <f>SUM(G34:G42)</f>
        <v>0</v>
      </c>
      <c r="H44" s="49">
        <f t="shared" si="8"/>
        <v>0</v>
      </c>
      <c r="I44" s="49">
        <f t="shared" si="8"/>
        <v>0</v>
      </c>
      <c r="J44" s="49">
        <f t="shared" si="8"/>
        <v>2808568</v>
      </c>
      <c r="K44" s="49">
        <f t="shared" si="8"/>
        <v>3031363</v>
      </c>
      <c r="L44" s="88">
        <f t="shared" si="8"/>
        <v>3254370</v>
      </c>
    </row>
    <row r="45" spans="1:12" ht="12.75" customHeight="1">
      <c r="A45" s="60" t="s">
        <v>456</v>
      </c>
      <c r="B45" s="94"/>
      <c r="C45" s="404"/>
      <c r="D45" s="411"/>
      <c r="E45" s="411"/>
      <c r="F45" s="411"/>
      <c r="G45" s="411"/>
      <c r="H45" s="411"/>
      <c r="I45" s="411"/>
      <c r="J45" s="405">
        <f>IF(ISERROR((J44-C44)/C44),0,((J44-C44)/C44))</f>
        <v>0</v>
      </c>
      <c r="K45" s="405">
        <f>IF(ISERROR((K44-J44)/J44),0,((K44-J44)/J44))</f>
        <v>7.9326902535384575E-2</v>
      </c>
      <c r="L45" s="406">
        <f>IF(ISERROR((L44-K44)/K44),0,((L44-K44)/K44))</f>
        <v>7.3566577146979756E-2</v>
      </c>
    </row>
    <row r="46" spans="1:12" ht="5.0999999999999996" customHeight="1">
      <c r="A46" s="27"/>
      <c r="B46" s="94"/>
      <c r="C46" s="404"/>
      <c r="D46" s="411"/>
      <c r="E46" s="411"/>
      <c r="F46" s="411"/>
      <c r="G46" s="411"/>
      <c r="H46" s="411"/>
      <c r="I46" s="411"/>
      <c r="J46" s="29"/>
      <c r="K46" s="29"/>
      <c r="L46" s="87"/>
    </row>
    <row r="47" spans="1:12" ht="12.75" customHeight="1">
      <c r="A47" s="35" t="s">
        <v>464</v>
      </c>
      <c r="B47" s="116"/>
      <c r="C47" s="37">
        <f t="shared" ref="C47:L47" si="9">C17+C30+C44</f>
        <v>4238176</v>
      </c>
      <c r="D47" s="36">
        <f t="shared" si="9"/>
        <v>0</v>
      </c>
      <c r="E47" s="36">
        <f t="shared" si="9"/>
        <v>0</v>
      </c>
      <c r="F47" s="36">
        <f t="shared" si="9"/>
        <v>0</v>
      </c>
      <c r="G47" s="36">
        <f>G17+G30+G44</f>
        <v>0</v>
      </c>
      <c r="H47" s="36">
        <f t="shared" si="9"/>
        <v>0</v>
      </c>
      <c r="I47" s="36">
        <f t="shared" si="9"/>
        <v>0</v>
      </c>
      <c r="J47" s="36">
        <f t="shared" si="9"/>
        <v>4238176</v>
      </c>
      <c r="K47" s="36">
        <f t="shared" si="9"/>
        <v>4578858</v>
      </c>
      <c r="L47" s="115">
        <f t="shared" si="9"/>
        <v>4925290</v>
      </c>
    </row>
    <row r="48" spans="1:12" ht="5.0999999999999996" customHeight="1">
      <c r="A48" s="378"/>
      <c r="B48" s="379"/>
      <c r="C48" s="380"/>
      <c r="D48" s="380"/>
      <c r="E48" s="380"/>
      <c r="F48" s="380"/>
      <c r="G48" s="380"/>
      <c r="H48" s="380"/>
      <c r="I48" s="380"/>
      <c r="J48" s="380"/>
      <c r="K48" s="380"/>
      <c r="L48" s="380"/>
    </row>
    <row r="49" spans="1:15" ht="12.75" customHeight="1">
      <c r="A49" s="38" t="str">
        <f>head27a</f>
        <v>References</v>
      </c>
      <c r="B49" s="39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47"/>
      <c r="N49" s="47"/>
      <c r="O49" s="47"/>
    </row>
    <row r="50" spans="1:15" ht="12.75" customHeight="1">
      <c r="A50" s="41" t="s">
        <v>116</v>
      </c>
      <c r="B50" s="39"/>
      <c r="C50" s="63"/>
      <c r="D50" s="47"/>
      <c r="E50" s="47"/>
      <c r="F50" s="47"/>
      <c r="G50" s="47"/>
      <c r="H50" s="47"/>
      <c r="I50" s="47"/>
      <c r="J50" s="47"/>
      <c r="K50" s="47"/>
      <c r="L50" s="47"/>
    </row>
    <row r="51" spans="1:15" ht="12.75" customHeight="1">
      <c r="A51" s="41" t="s">
        <v>75</v>
      </c>
      <c r="B51" s="39"/>
      <c r="C51" s="63"/>
      <c r="D51" s="47"/>
      <c r="E51" s="47"/>
      <c r="F51" s="47"/>
      <c r="G51" s="47"/>
      <c r="H51" s="47"/>
      <c r="I51" s="47"/>
      <c r="J51" s="47"/>
      <c r="K51" s="47"/>
      <c r="L51" s="47"/>
    </row>
    <row r="52" spans="1:15" ht="12.75" customHeight="1">
      <c r="A52" s="54" t="s">
        <v>326</v>
      </c>
      <c r="B52" s="39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5" ht="12.75" customHeight="1">
      <c r="A53" s="54" t="s">
        <v>117</v>
      </c>
      <c r="B53" s="39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5" ht="12.75" customHeight="1">
      <c r="A54" s="54" t="s">
        <v>118</v>
      </c>
      <c r="B54" s="39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5" ht="12.75" customHeight="1">
      <c r="A55" s="54" t="s">
        <v>119</v>
      </c>
      <c r="B55" s="39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5" ht="12.75" customHeight="1">
      <c r="A56" s="54" t="s">
        <v>238</v>
      </c>
      <c r="B56" s="39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5" ht="12.75" customHeight="1">
      <c r="A57" s="159" t="s">
        <v>239</v>
      </c>
      <c r="B57" s="39"/>
      <c r="C57" s="47"/>
      <c r="D57" s="47"/>
      <c r="E57" s="47"/>
      <c r="F57" s="47"/>
      <c r="G57" s="47"/>
      <c r="H57" s="47"/>
      <c r="I57" s="47"/>
      <c r="J57" s="47"/>
      <c r="K57" s="47"/>
      <c r="L57" s="47"/>
    </row>
    <row r="58" spans="1:15" ht="12.75" customHeight="1">
      <c r="A58" s="159" t="s">
        <v>240</v>
      </c>
      <c r="B58" s="39"/>
      <c r="C58" s="47"/>
      <c r="D58" s="47"/>
      <c r="E58" s="47"/>
      <c r="F58" s="47"/>
      <c r="G58" s="47"/>
      <c r="H58" s="47"/>
      <c r="I58" s="47"/>
      <c r="J58" s="47"/>
      <c r="K58" s="47"/>
      <c r="L58" s="47"/>
    </row>
    <row r="59" spans="1:15" ht="12.75" customHeight="1">
      <c r="A59" s="54"/>
      <c r="B59" s="39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5" ht="12.75" customHeight="1">
      <c r="A60" s="54"/>
      <c r="B60" s="39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spans="1:15" ht="12.75" customHeight="1">
      <c r="A61" s="54"/>
      <c r="B61" s="39"/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3" spans="1:15">
      <c r="B63" s="20"/>
    </row>
    <row r="64" spans="1:15">
      <c r="B64" s="20"/>
    </row>
    <row r="65" spans="2:2">
      <c r="B65" s="20"/>
    </row>
    <row r="66" spans="2:2">
      <c r="B66" s="20"/>
    </row>
    <row r="67" spans="2:2">
      <c r="B67" s="20"/>
    </row>
    <row r="68" spans="2:2">
      <c r="B68" s="20"/>
    </row>
    <row r="69" spans="2:2">
      <c r="B69" s="20"/>
    </row>
    <row r="70" spans="2:2">
      <c r="B70" s="20"/>
    </row>
    <row r="71" spans="2:2">
      <c r="B71" s="20"/>
    </row>
    <row r="72" spans="2:2">
      <c r="B72" s="20"/>
    </row>
    <row r="73" spans="2:2">
      <c r="B73" s="20"/>
    </row>
    <row r="74" spans="2:2">
      <c r="B74" s="20"/>
    </row>
    <row r="75" spans="2:2">
      <c r="B75" s="20"/>
    </row>
    <row r="76" spans="2:2">
      <c r="B76" s="20"/>
    </row>
    <row r="77" spans="2:2">
      <c r="B77" s="20"/>
    </row>
    <row r="78" spans="2:2">
      <c r="B78" s="20"/>
    </row>
    <row r="79" spans="2:2">
      <c r="B79" s="20"/>
    </row>
    <row r="80" spans="2:2">
      <c r="B80" s="20"/>
    </row>
    <row r="81" spans="2:2">
      <c r="B81" s="20"/>
    </row>
    <row r="82" spans="2:2">
      <c r="B82" s="20"/>
    </row>
    <row r="83" spans="2:2">
      <c r="B83" s="20"/>
    </row>
    <row r="84" spans="2:2">
      <c r="B84" s="20"/>
    </row>
    <row r="85" spans="2:2">
      <c r="B85" s="20"/>
    </row>
    <row r="86" spans="2:2">
      <c r="B86" s="20"/>
    </row>
    <row r="87" spans="2:2">
      <c r="B87" s="20"/>
    </row>
    <row r="88" spans="2:2">
      <c r="B88" s="20"/>
    </row>
    <row r="89" spans="2:2">
      <c r="B89" s="20"/>
    </row>
    <row r="90" spans="2:2">
      <c r="B90" s="20"/>
    </row>
    <row r="91" spans="2:2">
      <c r="B91" s="20"/>
    </row>
    <row r="92" spans="2:2">
      <c r="B92" s="20"/>
    </row>
    <row r="93" spans="2:2">
      <c r="B93" s="20"/>
    </row>
    <row r="94" spans="2:2">
      <c r="B94" s="20"/>
    </row>
    <row r="95" spans="2:2">
      <c r="B95" s="20"/>
    </row>
    <row r="96" spans="2:2">
      <c r="B96" s="20"/>
    </row>
    <row r="97" spans="2:2">
      <c r="B97" s="20"/>
    </row>
    <row r="98" spans="2:2">
      <c r="B98" s="20"/>
    </row>
    <row r="99" spans="2:2">
      <c r="B99" s="20"/>
    </row>
    <row r="100" spans="2:2">
      <c r="B100" s="20"/>
    </row>
    <row r="101" spans="2:2">
      <c r="B101" s="20"/>
    </row>
    <row r="102" spans="2:2">
      <c r="B102" s="20"/>
    </row>
    <row r="103" spans="2:2">
      <c r="B103" s="20"/>
    </row>
    <row r="104" spans="2:2">
      <c r="B104" s="20"/>
    </row>
    <row r="105" spans="2:2">
      <c r="B105" s="20"/>
    </row>
    <row r="106" spans="2:2">
      <c r="B106" s="20"/>
    </row>
    <row r="107" spans="2:2">
      <c r="B107" s="20"/>
    </row>
    <row r="108" spans="2:2">
      <c r="B108" s="20"/>
    </row>
    <row r="109" spans="2:2">
      <c r="B109" s="20"/>
    </row>
    <row r="110" spans="2:2">
      <c r="B110" s="20"/>
    </row>
    <row r="111" spans="2:2">
      <c r="B111" s="20"/>
    </row>
    <row r="112" spans="2:2">
      <c r="B112" s="20"/>
    </row>
    <row r="113" spans="2:2">
      <c r="B113" s="20"/>
    </row>
    <row r="114" spans="2:2">
      <c r="B114" s="20"/>
    </row>
    <row r="115" spans="2:2">
      <c r="B115" s="20"/>
    </row>
    <row r="116" spans="2:2">
      <c r="B116" s="20"/>
    </row>
    <row r="117" spans="2:2">
      <c r="B117" s="20"/>
    </row>
    <row r="118" spans="2:2">
      <c r="B118" s="20"/>
    </row>
    <row r="119" spans="2:2">
      <c r="B119" s="20"/>
    </row>
    <row r="120" spans="2:2">
      <c r="B120" s="20"/>
    </row>
    <row r="121" spans="2:2">
      <c r="B121" s="20"/>
    </row>
    <row r="122" spans="2:2">
      <c r="B122" s="20"/>
    </row>
    <row r="123" spans="2:2">
      <c r="B123" s="20"/>
    </row>
    <row r="124" spans="2:2">
      <c r="B124" s="20"/>
    </row>
    <row r="125" spans="2:2">
      <c r="B125" s="20"/>
    </row>
    <row r="126" spans="2:2">
      <c r="B126" s="20"/>
    </row>
    <row r="127" spans="2:2">
      <c r="B127" s="20"/>
    </row>
    <row r="128" spans="2:2">
      <c r="B128" s="20"/>
    </row>
    <row r="129" spans="2:2">
      <c r="B129" s="20"/>
    </row>
    <row r="130" spans="2:2">
      <c r="B130" s="20"/>
    </row>
    <row r="131" spans="2:2">
      <c r="B131" s="20"/>
    </row>
    <row r="132" spans="2:2">
      <c r="B132" s="20"/>
    </row>
    <row r="133" spans="2:2">
      <c r="B133" s="20"/>
    </row>
    <row r="134" spans="2:2">
      <c r="B134" s="20"/>
    </row>
    <row r="135" spans="2:2">
      <c r="B135" s="20"/>
    </row>
    <row r="136" spans="2:2">
      <c r="B136" s="20"/>
    </row>
    <row r="137" spans="2:2">
      <c r="B137" s="20"/>
    </row>
  </sheetData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6 K8:L16 C21:H29 K21:L29 C34:H43 K34:L43">
      <formula1>-999999999999</formula1>
      <formula2>999999999999</formula2>
    </dataValidation>
  </dataValidations>
  <pageMargins left="0.74803149606299213" right="0.74803149606299213" top="0.98425196850393704" bottom="0.98425196850393704" header="0.51181102362204722" footer="0.51181102362204722"/>
  <pageSetup paperSize="8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4" enableFormatConditionsCalculation="0">
    <tabColor rgb="FFC4FCDF"/>
  </sheetPr>
  <dimension ref="A1:Q50"/>
  <sheetViews>
    <sheetView showGridLines="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.75"/>
  <cols>
    <col min="1" max="1" width="35.7109375" style="20" customWidth="1"/>
    <col min="2" max="16" width="8.7109375" style="20" customWidth="1"/>
    <col min="17" max="16384" width="9.140625" style="20"/>
  </cols>
  <sheetData>
    <row r="1" spans="1:16" ht="13.5">
      <c r="A1" s="91" t="str">
        <f>MEAB9&amp;" - "&amp;Date</f>
        <v xml:space="preserve"> - Supporting Table SE5   Adjustments Budget  - monthly cash and revenue/expenditure - </v>
      </c>
      <c r="C1" s="48"/>
    </row>
    <row r="2" spans="1:16" ht="25.5">
      <c r="A2" s="428" t="str">
        <f>desc</f>
        <v>Description</v>
      </c>
      <c r="B2" s="425" t="str">
        <f ca="1">Head9</f>
        <v>Budget Year 2014/15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3"/>
      <c r="N2" s="138" t="s">
        <v>328</v>
      </c>
      <c r="O2" s="139"/>
      <c r="P2" s="140"/>
    </row>
    <row r="3" spans="1:16" ht="38.25">
      <c r="A3" s="429"/>
      <c r="B3" s="143" t="s">
        <v>283</v>
      </c>
      <c r="C3" s="141" t="s">
        <v>379</v>
      </c>
      <c r="D3" s="141" t="s">
        <v>380</v>
      </c>
      <c r="E3" s="141" t="s">
        <v>381</v>
      </c>
      <c r="F3" s="141" t="s">
        <v>382</v>
      </c>
      <c r="G3" s="152" t="s">
        <v>383</v>
      </c>
      <c r="H3" s="153" t="s">
        <v>384</v>
      </c>
      <c r="I3" s="154" t="s">
        <v>385</v>
      </c>
      <c r="J3" s="141" t="s">
        <v>386</v>
      </c>
      <c r="K3" s="141" t="s">
        <v>387</v>
      </c>
      <c r="L3" s="155" t="s">
        <v>388</v>
      </c>
      <c r="M3" s="154" t="s">
        <v>389</v>
      </c>
      <c r="N3" s="153" t="str">
        <f ca="1">Head9</f>
        <v>Budget Year 2014/15</v>
      </c>
      <c r="O3" s="154" t="str">
        <f ca="1">Head10</f>
        <v>Budget Year +1 2015/16</v>
      </c>
      <c r="P3" s="142" t="str">
        <f ca="1">Head11</f>
        <v>Budget Year +2 2016/17</v>
      </c>
    </row>
    <row r="4" spans="1:16" ht="25.5">
      <c r="A4" s="148" t="s">
        <v>199</v>
      </c>
      <c r="B4" s="384" t="str">
        <f t="shared" ref="B4:G4" si="0">Head5A</f>
        <v>Outcome</v>
      </c>
      <c r="C4" s="385" t="str">
        <f t="shared" si="0"/>
        <v>Outcome</v>
      </c>
      <c r="D4" s="385" t="str">
        <f t="shared" si="0"/>
        <v>Outcome</v>
      </c>
      <c r="E4" s="385" t="str">
        <f t="shared" si="0"/>
        <v>Outcome</v>
      </c>
      <c r="F4" s="385" t="str">
        <f t="shared" si="0"/>
        <v>Outcome</v>
      </c>
      <c r="G4" s="386" t="str">
        <f t="shared" si="0"/>
        <v>Outcome</v>
      </c>
      <c r="H4" s="384" t="str">
        <f t="shared" ref="H4:M4" si="1">Head7</f>
        <v>Adjusted Budget</v>
      </c>
      <c r="I4" s="386" t="str">
        <f t="shared" si="1"/>
        <v>Adjusted Budget</v>
      </c>
      <c r="J4" s="385" t="str">
        <f t="shared" si="1"/>
        <v>Adjusted Budget</v>
      </c>
      <c r="K4" s="385" t="str">
        <f t="shared" si="1"/>
        <v>Adjusted Budget</v>
      </c>
      <c r="L4" s="385" t="str">
        <f t="shared" si="1"/>
        <v>Adjusted Budget</v>
      </c>
      <c r="M4" s="386" t="str">
        <f t="shared" si="1"/>
        <v>Adjusted Budget</v>
      </c>
      <c r="N4" s="147" t="str">
        <f>Head7</f>
        <v>Adjusted Budget</v>
      </c>
      <c r="O4" s="145" t="str">
        <f>Head7</f>
        <v>Adjusted Budget</v>
      </c>
      <c r="P4" s="146" t="str">
        <f>Head7</f>
        <v>Adjusted Budget</v>
      </c>
    </row>
    <row r="5" spans="1:16" ht="12.75" customHeight="1">
      <c r="A5" s="23" t="s">
        <v>47</v>
      </c>
      <c r="B5" s="30"/>
      <c r="C5" s="29"/>
      <c r="D5" s="29"/>
      <c r="E5" s="29"/>
      <c r="F5" s="29"/>
      <c r="G5" s="66"/>
      <c r="H5" s="30"/>
      <c r="I5" s="29"/>
      <c r="J5" s="29"/>
      <c r="K5" s="29"/>
      <c r="L5" s="29"/>
      <c r="M5" s="66"/>
      <c r="N5" s="30"/>
      <c r="O5" s="29"/>
      <c r="P5" s="87"/>
    </row>
    <row r="6" spans="1:16" ht="12.75" customHeight="1">
      <c r="A6" s="26" t="s">
        <v>334</v>
      </c>
      <c r="B6" s="214"/>
      <c r="C6" s="215"/>
      <c r="D6" s="215"/>
      <c r="E6" s="215"/>
      <c r="F6" s="215"/>
      <c r="G6" s="242"/>
      <c r="H6" s="214"/>
      <c r="I6" s="215"/>
      <c r="J6" s="215"/>
      <c r="K6" s="215"/>
      <c r="L6" s="215"/>
      <c r="M6" s="371"/>
      <c r="N6" s="368"/>
      <c r="O6" s="369"/>
      <c r="P6" s="370"/>
    </row>
    <row r="7" spans="1:16" ht="12.75" customHeight="1">
      <c r="A7" s="26" t="s">
        <v>431</v>
      </c>
      <c r="B7" s="214"/>
      <c r="C7" s="215"/>
      <c r="D7" s="215"/>
      <c r="E7" s="215"/>
      <c r="F7" s="215"/>
      <c r="G7" s="242"/>
      <c r="H7" s="214"/>
      <c r="I7" s="215"/>
      <c r="J7" s="215"/>
      <c r="K7" s="215"/>
      <c r="L7" s="215"/>
      <c r="M7" s="371"/>
      <c r="N7" s="368"/>
      <c r="O7" s="369"/>
      <c r="P7" s="370"/>
    </row>
    <row r="8" spans="1:16" ht="12.75" customHeight="1">
      <c r="A8" s="26" t="s">
        <v>18</v>
      </c>
      <c r="B8" s="214">
        <f>300000+3179.78</f>
        <v>303179.78000000003</v>
      </c>
      <c r="C8" s="215">
        <f>395000+1594.82</f>
        <v>396594.82</v>
      </c>
      <c r="D8" s="215">
        <f>190000+32.36</f>
        <v>190032.36</v>
      </c>
      <c r="E8" s="215">
        <f>420000+8.37</f>
        <v>420008.37</v>
      </c>
      <c r="F8" s="215">
        <f>3000000+11.86</f>
        <v>3000011.86</v>
      </c>
      <c r="G8" s="215">
        <v>326.95</v>
      </c>
      <c r="H8" s="214">
        <v>500000</v>
      </c>
      <c r="I8" s="215">
        <v>500000</v>
      </c>
      <c r="J8" s="215">
        <v>195000</v>
      </c>
      <c r="K8" s="215">
        <f>0</f>
        <v>0</v>
      </c>
      <c r="L8" s="215">
        <f>0</f>
        <v>0</v>
      </c>
      <c r="M8" s="215">
        <f>0</f>
        <v>0</v>
      </c>
      <c r="N8" s="368">
        <v>5500000</v>
      </c>
      <c r="O8" s="369">
        <v>6500000</v>
      </c>
      <c r="P8" s="370">
        <v>7000000</v>
      </c>
    </row>
    <row r="9" spans="1:16" ht="12.75" customHeight="1">
      <c r="A9" s="26" t="s">
        <v>342</v>
      </c>
      <c r="B9" s="214"/>
      <c r="C9" s="215"/>
      <c r="D9" s="215"/>
      <c r="E9" s="215"/>
      <c r="F9" s="215"/>
      <c r="G9" s="242"/>
      <c r="H9" s="214"/>
      <c r="I9" s="215"/>
      <c r="J9" s="215"/>
      <c r="K9" s="215"/>
      <c r="L9" s="215"/>
      <c r="M9" s="371"/>
      <c r="N9" s="368"/>
      <c r="O9" s="369"/>
      <c r="P9" s="370"/>
    </row>
    <row r="10" spans="1:16" ht="12.75" customHeight="1">
      <c r="A10" s="61" t="s">
        <v>49</v>
      </c>
      <c r="B10" s="50">
        <f t="shared" ref="B10:P10" si="2">SUM(B6:B9)</f>
        <v>303179.78000000003</v>
      </c>
      <c r="C10" s="49">
        <f t="shared" si="2"/>
        <v>396594.82</v>
      </c>
      <c r="D10" s="49">
        <f t="shared" si="2"/>
        <v>190032.36</v>
      </c>
      <c r="E10" s="49">
        <f t="shared" si="2"/>
        <v>420008.37</v>
      </c>
      <c r="F10" s="49">
        <f t="shared" si="2"/>
        <v>3000011.86</v>
      </c>
      <c r="G10" s="130">
        <f t="shared" si="2"/>
        <v>326.95</v>
      </c>
      <c r="H10" s="50">
        <f t="shared" si="2"/>
        <v>500000</v>
      </c>
      <c r="I10" s="49">
        <f t="shared" si="2"/>
        <v>500000</v>
      </c>
      <c r="J10" s="49">
        <f t="shared" si="2"/>
        <v>195000</v>
      </c>
      <c r="K10" s="49">
        <f t="shared" si="2"/>
        <v>0</v>
      </c>
      <c r="L10" s="49">
        <f t="shared" si="2"/>
        <v>0</v>
      </c>
      <c r="M10" s="130">
        <f t="shared" si="2"/>
        <v>0</v>
      </c>
      <c r="N10" s="50">
        <f t="shared" si="2"/>
        <v>5500000</v>
      </c>
      <c r="O10" s="49">
        <f t="shared" si="2"/>
        <v>6500000</v>
      </c>
      <c r="P10" s="88">
        <f t="shared" si="2"/>
        <v>7000000</v>
      </c>
    </row>
    <row r="11" spans="1:16" ht="5.0999999999999996" customHeight="1">
      <c r="A11" s="60"/>
      <c r="B11" s="30"/>
      <c r="C11" s="29"/>
      <c r="D11" s="29"/>
      <c r="E11" s="29"/>
      <c r="F11" s="29"/>
      <c r="G11" s="66"/>
      <c r="H11" s="30"/>
      <c r="I11" s="29"/>
      <c r="J11" s="29"/>
      <c r="K11" s="29"/>
      <c r="L11" s="29"/>
      <c r="M11" s="66"/>
      <c r="N11" s="30"/>
      <c r="O11" s="29"/>
      <c r="P11" s="87"/>
    </row>
    <row r="12" spans="1:16" ht="12.75" customHeight="1">
      <c r="A12" s="23" t="s">
        <v>48</v>
      </c>
      <c r="B12" s="30"/>
      <c r="C12" s="29"/>
      <c r="D12" s="29"/>
      <c r="E12" s="29"/>
      <c r="F12" s="29"/>
      <c r="G12" s="66"/>
      <c r="H12" s="30"/>
      <c r="I12" s="29"/>
      <c r="J12" s="29"/>
      <c r="K12" s="29"/>
      <c r="L12" s="29"/>
      <c r="M12" s="66"/>
      <c r="N12" s="30"/>
      <c r="O12" s="29"/>
      <c r="P12" s="87"/>
    </row>
    <row r="13" spans="1:16" ht="12.75" customHeight="1">
      <c r="A13" s="26" t="s">
        <v>343</v>
      </c>
      <c r="B13" s="215">
        <f>193379.73+149050.39+2023.62</f>
        <v>344453.74</v>
      </c>
      <c r="C13" s="215">
        <f>187453.05+43861.76+17714.18+42573.54</f>
        <v>291602.52999999997</v>
      </c>
      <c r="D13" s="215">
        <v>179797.6</v>
      </c>
      <c r="E13" s="215">
        <f>192593.39+4506.61</f>
        <v>197100</v>
      </c>
      <c r="F13" s="215">
        <f>190298.38+203573.96+4784.61</f>
        <v>398656.94999999995</v>
      </c>
      <c r="G13" s="215">
        <f>192186.04+111631.03+3240.12</f>
        <v>307057.19</v>
      </c>
      <c r="H13" s="214">
        <v>300000</v>
      </c>
      <c r="I13" s="214">
        <v>300000</v>
      </c>
      <c r="J13" s="214">
        <v>300000</v>
      </c>
      <c r="K13" s="214">
        <v>300000</v>
      </c>
      <c r="L13" s="214">
        <v>300000</v>
      </c>
      <c r="M13" s="371">
        <v>440000</v>
      </c>
      <c r="N13" s="214">
        <f>2619380+982135</f>
        <v>3601515</v>
      </c>
      <c r="O13" s="215">
        <v>3882176</v>
      </c>
      <c r="P13" s="215">
        <v>4183057</v>
      </c>
    </row>
    <row r="14" spans="1:16" ht="12.75" customHeight="1">
      <c r="A14" s="26" t="s">
        <v>0</v>
      </c>
      <c r="B14" s="215">
        <f>2890+8025.53+12553.07+20250+3375+24025</f>
        <v>71118.600000000006</v>
      </c>
      <c r="C14" s="215">
        <f>16850+23278.96+4698.25+44775+10125</f>
        <v>99727.209999999992</v>
      </c>
      <c r="D14" s="215">
        <v>8271.6</v>
      </c>
      <c r="E14" s="215">
        <f>7104.16+2473.68+17625</f>
        <v>27202.84</v>
      </c>
      <c r="F14" s="215">
        <f>2850+11980.44+12510.96+10875+10125+27225</f>
        <v>75566.399999999994</v>
      </c>
      <c r="G14" s="215">
        <f>11500+6925.08+5225.44+27904</f>
        <v>51554.520000000004</v>
      </c>
      <c r="H14" s="214">
        <v>76000</v>
      </c>
      <c r="I14" s="214">
        <v>25000</v>
      </c>
      <c r="J14" s="214">
        <v>76000</v>
      </c>
      <c r="K14" s="215">
        <v>25000</v>
      </c>
      <c r="L14" s="215">
        <v>76000</v>
      </c>
      <c r="M14" s="371">
        <v>70000</v>
      </c>
      <c r="N14" s="215">
        <v>383112</v>
      </c>
      <c r="O14" s="215">
        <v>356000</v>
      </c>
      <c r="P14" s="216">
        <v>395800</v>
      </c>
    </row>
    <row r="15" spans="1:16" ht="12.75" customHeight="1">
      <c r="A15" s="26" t="s">
        <v>145</v>
      </c>
      <c r="B15" s="215"/>
      <c r="C15" s="215"/>
      <c r="D15" s="215"/>
      <c r="E15" s="215"/>
      <c r="F15" s="215"/>
      <c r="G15" s="215"/>
      <c r="H15" s="214"/>
      <c r="I15" s="215"/>
      <c r="J15" s="215"/>
      <c r="K15" s="215"/>
      <c r="L15" s="215"/>
      <c r="M15" s="371"/>
      <c r="N15" s="215"/>
      <c r="O15" s="215"/>
      <c r="P15" s="216"/>
    </row>
    <row r="16" spans="1:16" ht="12.75" customHeight="1">
      <c r="A16" s="26" t="s">
        <v>193</v>
      </c>
      <c r="B16" s="215"/>
      <c r="C16" s="215"/>
      <c r="D16" s="215"/>
      <c r="E16" s="215"/>
      <c r="F16" s="215"/>
      <c r="G16" s="215"/>
      <c r="H16" s="214"/>
      <c r="I16" s="215"/>
      <c r="J16" s="215"/>
      <c r="K16" s="215"/>
      <c r="L16" s="215"/>
      <c r="M16" s="371"/>
      <c r="N16" s="215"/>
      <c r="O16" s="215"/>
      <c r="P16" s="216"/>
    </row>
    <row r="17" spans="1:16" ht="12.75" customHeight="1">
      <c r="A17" s="26" t="s">
        <v>17</v>
      </c>
      <c r="B17" s="215"/>
      <c r="C17" s="215"/>
      <c r="D17" s="215"/>
      <c r="E17" s="215"/>
      <c r="F17" s="215"/>
      <c r="G17" s="215"/>
      <c r="H17" s="214"/>
      <c r="I17" s="215"/>
      <c r="J17" s="215"/>
      <c r="K17" s="215"/>
      <c r="L17" s="215"/>
      <c r="M17" s="371"/>
      <c r="N17" s="215"/>
      <c r="O17" s="215"/>
      <c r="P17" s="216"/>
    </row>
    <row r="18" spans="1:16" ht="12.75" customHeight="1">
      <c r="A18" s="26" t="s">
        <v>359</v>
      </c>
      <c r="B18" s="215">
        <v>0</v>
      </c>
      <c r="C18" s="215">
        <v>5942.35</v>
      </c>
      <c r="D18" s="215">
        <v>496.5</v>
      </c>
      <c r="E18" s="215">
        <v>0</v>
      </c>
      <c r="F18" s="215">
        <v>0</v>
      </c>
      <c r="G18" s="215">
        <f>0</f>
        <v>0</v>
      </c>
      <c r="H18" s="214"/>
      <c r="I18" s="215"/>
      <c r="J18" s="215"/>
      <c r="K18" s="215"/>
      <c r="L18" s="215"/>
      <c r="M18" s="371"/>
      <c r="N18" s="215">
        <f>0</f>
        <v>0</v>
      </c>
      <c r="O18" s="215"/>
      <c r="P18" s="216"/>
    </row>
    <row r="19" spans="1:16" ht="12.75" customHeight="1">
      <c r="A19" s="26" t="s">
        <v>591</v>
      </c>
      <c r="B19" s="215"/>
      <c r="C19" s="215"/>
      <c r="D19" s="215"/>
      <c r="E19" s="215"/>
      <c r="F19" s="215"/>
      <c r="G19" s="215"/>
      <c r="H19" s="214"/>
      <c r="I19" s="215"/>
      <c r="J19" s="215"/>
      <c r="K19" s="215"/>
      <c r="L19" s="215"/>
      <c r="M19" s="371"/>
      <c r="N19" s="215"/>
      <c r="O19" s="215"/>
      <c r="P19" s="216"/>
    </row>
    <row r="20" spans="1:16" ht="12.75" customHeight="1">
      <c r="A20" s="26" t="s">
        <v>390</v>
      </c>
      <c r="B20" s="215"/>
      <c r="C20" s="215"/>
      <c r="D20" s="215"/>
      <c r="E20" s="215"/>
      <c r="F20" s="215"/>
      <c r="G20" s="215"/>
      <c r="H20" s="214"/>
      <c r="I20" s="215"/>
      <c r="J20" s="215"/>
      <c r="K20" s="215"/>
      <c r="L20" s="215"/>
      <c r="M20" s="371"/>
      <c r="N20" s="215"/>
      <c r="O20" s="215"/>
      <c r="P20" s="216"/>
    </row>
    <row r="21" spans="1:16" ht="12.75" customHeight="1">
      <c r="A21" s="26" t="s">
        <v>346</v>
      </c>
      <c r="B21" s="215">
        <f>4331+333.33+37810.73</f>
        <v>42475.060000000005</v>
      </c>
      <c r="C21" s="215">
        <f>19581.54+3035.18+10521.64</f>
        <v>33138.36</v>
      </c>
      <c r="D21" s="215">
        <f>11936.77</f>
        <v>11936.77</v>
      </c>
      <c r="E21" s="215">
        <f>333.34</f>
        <v>333.34</v>
      </c>
      <c r="F21" s="215">
        <f>3280.7+15.5+39163.07</f>
        <v>42459.27</v>
      </c>
      <c r="G21" s="215">
        <f>39163.07+1105.26+6790</f>
        <v>47058.33</v>
      </c>
      <c r="H21" s="214">
        <v>42000</v>
      </c>
      <c r="I21" s="215">
        <v>47000</v>
      </c>
      <c r="J21" s="215">
        <v>49741.23</v>
      </c>
      <c r="K21" s="215">
        <v>48085.43</v>
      </c>
      <c r="L21" s="215">
        <v>60000</v>
      </c>
      <c r="M21" s="371">
        <v>50000</v>
      </c>
      <c r="N21" s="215">
        <v>251188</v>
      </c>
      <c r="O21" s="215">
        <f>[8]Sheet1!$K$45</f>
        <v>323820.67</v>
      </c>
      <c r="P21" s="216">
        <f>[8]Sheet1!$M$45</f>
        <v>356202.53700000001</v>
      </c>
    </row>
    <row r="22" spans="1:16" ht="12.75" customHeight="1">
      <c r="A22" s="26" t="s">
        <v>543</v>
      </c>
      <c r="B22" s="215"/>
      <c r="C22" s="215"/>
      <c r="D22" s="215"/>
      <c r="E22" s="215"/>
      <c r="F22" s="215"/>
      <c r="G22" s="215"/>
      <c r="H22" s="214"/>
      <c r="I22" s="215"/>
      <c r="J22" s="215"/>
      <c r="K22" s="215"/>
      <c r="L22" s="215"/>
      <c r="M22" s="371"/>
      <c r="N22" s="215"/>
      <c r="O22" s="215"/>
      <c r="P22" s="216"/>
    </row>
    <row r="23" spans="1:16" ht="12.75" customHeight="1">
      <c r="A23" s="26" t="s">
        <v>2</v>
      </c>
      <c r="B23" s="215">
        <f>509+882.65+2662.44+4197+11950.51+1200+2685.38+6753.6+2061.4+5457.39+64879.83</f>
        <v>103239.20000000001</v>
      </c>
      <c r="C23" s="215">
        <f>6750+30000+437.5+882.65+4694.9+700+6285.3+6809.83+5252.93+2369.88+76923.02</f>
        <v>141106.01</v>
      </c>
      <c r="D23" s="215">
        <f>76381.22</f>
        <v>76381.22</v>
      </c>
      <c r="E23" s="215">
        <f>719.83+1499.96+4.36+882.65+2666.11+10571.23+20000+4339.73+3893.1+1507.05+12091.14+6928.2+16430+59258.8</f>
        <v>140792.15999999997</v>
      </c>
      <c r="F23" s="215">
        <f>8964+18322.74+1980+908.5+42438.44+159.63+882.65+5753.86+2666.11+14900+3852+2931.29+3610.05+8015.11+2850.88+34144.94+37200</f>
        <v>189580.2</v>
      </c>
      <c r="G23" s="215">
        <f>22204+904.5+4396.22+882.65+2666.11+4159+7799.82+1100+2135.75+4951.03+26247.79</f>
        <v>77446.87</v>
      </c>
      <c r="H23" s="214">
        <v>160000</v>
      </c>
      <c r="I23" s="215">
        <v>160000</v>
      </c>
      <c r="J23" s="215">
        <v>175000</v>
      </c>
      <c r="K23" s="215">
        <v>155000</v>
      </c>
      <c r="L23" s="215">
        <v>160000</v>
      </c>
      <c r="M23" s="371">
        <v>160000</v>
      </c>
      <c r="N23" s="214">
        <f>83106+21300+1157779+2000</f>
        <v>1264185</v>
      </c>
      <c r="O23" s="215">
        <v>1938000</v>
      </c>
      <c r="P23" s="215">
        <v>2065000</v>
      </c>
    </row>
    <row r="24" spans="1:16" ht="12.75" customHeight="1">
      <c r="A24" s="26" t="s">
        <v>109</v>
      </c>
      <c r="B24" s="214"/>
      <c r="C24" s="215"/>
      <c r="D24" s="215"/>
      <c r="E24" s="215"/>
      <c r="F24" s="215"/>
      <c r="G24" s="242"/>
      <c r="H24" s="214"/>
      <c r="I24" s="215"/>
      <c r="J24" s="215"/>
      <c r="K24" s="215"/>
      <c r="L24" s="215"/>
      <c r="M24" s="371"/>
      <c r="N24" s="215"/>
      <c r="O24" s="215"/>
      <c r="P24" s="216"/>
    </row>
    <row r="25" spans="1:16" ht="12.75" customHeight="1">
      <c r="A25" s="61" t="s">
        <v>289</v>
      </c>
      <c r="B25" s="50">
        <f t="shared" ref="B25:P25" si="3">SUM(B13:B24)</f>
        <v>561286.6</v>
      </c>
      <c r="C25" s="49">
        <f t="shared" si="3"/>
        <v>571516.46</v>
      </c>
      <c r="D25" s="49">
        <f t="shared" si="3"/>
        <v>276883.69</v>
      </c>
      <c r="E25" s="49">
        <f t="shared" si="3"/>
        <v>365428.33999999997</v>
      </c>
      <c r="F25" s="49">
        <f t="shared" si="3"/>
        <v>706262.82000000007</v>
      </c>
      <c r="G25" s="130">
        <f t="shared" si="3"/>
        <v>483116.91000000003</v>
      </c>
      <c r="H25" s="50">
        <f t="shared" si="3"/>
        <v>578000</v>
      </c>
      <c r="I25" s="49">
        <f t="shared" si="3"/>
        <v>532000</v>
      </c>
      <c r="J25" s="49">
        <f t="shared" si="3"/>
        <v>600741.23</v>
      </c>
      <c r="K25" s="49">
        <f t="shared" si="3"/>
        <v>528085.42999999993</v>
      </c>
      <c r="L25" s="49">
        <f t="shared" si="3"/>
        <v>596000</v>
      </c>
      <c r="M25" s="130">
        <f t="shared" si="3"/>
        <v>720000</v>
      </c>
      <c r="N25" s="50">
        <f t="shared" si="3"/>
        <v>5500000</v>
      </c>
      <c r="O25" s="49">
        <f t="shared" si="3"/>
        <v>6499996.6699999999</v>
      </c>
      <c r="P25" s="88">
        <f t="shared" si="3"/>
        <v>7000059.5370000005</v>
      </c>
    </row>
    <row r="26" spans="1:16" ht="5.0999999999999996" customHeight="1">
      <c r="A26" s="27"/>
      <c r="B26" s="30"/>
      <c r="C26" s="29"/>
      <c r="D26" s="29"/>
      <c r="E26" s="29"/>
      <c r="F26" s="29"/>
      <c r="G26" s="66"/>
      <c r="H26" s="30"/>
      <c r="I26" s="29"/>
      <c r="J26" s="29"/>
      <c r="K26" s="29"/>
      <c r="L26" s="29"/>
      <c r="M26" s="66"/>
      <c r="N26" s="30"/>
      <c r="O26" s="29"/>
      <c r="P26" s="87"/>
    </row>
    <row r="27" spans="1:16" ht="12.75" customHeight="1">
      <c r="A27" s="23" t="s">
        <v>121</v>
      </c>
      <c r="B27" s="30"/>
      <c r="C27" s="29"/>
      <c r="D27" s="29"/>
      <c r="E27" s="29"/>
      <c r="F27" s="29"/>
      <c r="G27" s="66"/>
      <c r="H27" s="30"/>
      <c r="I27" s="29"/>
      <c r="J27" s="29"/>
      <c r="K27" s="29"/>
      <c r="L27" s="29"/>
      <c r="M27" s="66"/>
      <c r="N27" s="30"/>
      <c r="O27" s="29"/>
      <c r="P27" s="87"/>
    </row>
    <row r="28" spans="1:16" ht="12.75" customHeight="1">
      <c r="A28" s="349" t="s">
        <v>218</v>
      </c>
      <c r="B28" s="214"/>
      <c r="C28" s="215"/>
      <c r="D28" s="215"/>
      <c r="E28" s="215"/>
      <c r="F28" s="215"/>
      <c r="G28" s="242"/>
      <c r="H28" s="214"/>
      <c r="I28" s="215"/>
      <c r="J28" s="215"/>
      <c r="K28" s="215"/>
      <c r="L28" s="215"/>
      <c r="M28" s="371"/>
      <c r="N28" s="368"/>
      <c r="O28" s="369"/>
      <c r="P28" s="370"/>
    </row>
    <row r="29" spans="1:16" ht="12.75" customHeight="1">
      <c r="A29" s="61" t="s">
        <v>143</v>
      </c>
      <c r="B29" s="50">
        <f t="shared" ref="B29:P29" si="4">SUM(B28:B28)</f>
        <v>0</v>
      </c>
      <c r="C29" s="49">
        <f t="shared" si="4"/>
        <v>0</v>
      </c>
      <c r="D29" s="49">
        <f t="shared" si="4"/>
        <v>0</v>
      </c>
      <c r="E29" s="49">
        <f t="shared" si="4"/>
        <v>0</v>
      </c>
      <c r="F29" s="49">
        <f t="shared" si="4"/>
        <v>0</v>
      </c>
      <c r="G29" s="130">
        <f t="shared" si="4"/>
        <v>0</v>
      </c>
      <c r="H29" s="50">
        <f t="shared" si="4"/>
        <v>0</v>
      </c>
      <c r="I29" s="49">
        <f t="shared" si="4"/>
        <v>0</v>
      </c>
      <c r="J29" s="49">
        <f t="shared" si="4"/>
        <v>0</v>
      </c>
      <c r="K29" s="49">
        <f t="shared" si="4"/>
        <v>0</v>
      </c>
      <c r="L29" s="49">
        <f t="shared" si="4"/>
        <v>0</v>
      </c>
      <c r="M29" s="130">
        <f t="shared" si="4"/>
        <v>0</v>
      </c>
      <c r="N29" s="50">
        <f t="shared" si="4"/>
        <v>0</v>
      </c>
      <c r="O29" s="49">
        <f t="shared" si="4"/>
        <v>0</v>
      </c>
      <c r="P29" s="88">
        <f t="shared" si="4"/>
        <v>0</v>
      </c>
    </row>
    <row r="30" spans="1:16" ht="5.0999999999999996" customHeight="1">
      <c r="A30" s="27"/>
      <c r="B30" s="30"/>
      <c r="C30" s="29"/>
      <c r="D30" s="29"/>
      <c r="E30" s="29"/>
      <c r="F30" s="29"/>
      <c r="G30" s="66"/>
      <c r="H30" s="30"/>
      <c r="I30" s="29"/>
      <c r="J30" s="29"/>
      <c r="K30" s="29"/>
      <c r="L30" s="29"/>
      <c r="M30" s="66"/>
      <c r="N30" s="30"/>
      <c r="O30" s="29"/>
      <c r="P30" s="87"/>
    </row>
    <row r="31" spans="1:16" ht="12.75" customHeight="1">
      <c r="A31" s="23" t="s">
        <v>295</v>
      </c>
      <c r="B31" s="30"/>
      <c r="C31" s="29"/>
      <c r="D31" s="29"/>
      <c r="E31" s="29"/>
      <c r="F31" s="29"/>
      <c r="G31" s="66"/>
      <c r="H31" s="30"/>
      <c r="I31" s="29"/>
      <c r="J31" s="29"/>
      <c r="K31" s="29"/>
      <c r="L31" s="29"/>
      <c r="M31" s="66"/>
      <c r="N31" s="30"/>
      <c r="O31" s="29"/>
      <c r="P31" s="87"/>
    </row>
    <row r="32" spans="1:16" ht="12.75" customHeight="1">
      <c r="A32" s="26" t="s">
        <v>214</v>
      </c>
      <c r="B32" s="214"/>
      <c r="C32" s="215"/>
      <c r="D32" s="215"/>
      <c r="E32" s="215"/>
      <c r="F32" s="215"/>
      <c r="G32" s="242"/>
      <c r="H32" s="214"/>
      <c r="I32" s="215"/>
      <c r="J32" s="215"/>
      <c r="K32" s="215"/>
      <c r="L32" s="215"/>
      <c r="M32" s="371"/>
      <c r="N32" s="368"/>
      <c r="O32" s="369"/>
      <c r="P32" s="370"/>
    </row>
    <row r="33" spans="1:17" ht="12.75" customHeight="1">
      <c r="A33" s="26" t="s">
        <v>213</v>
      </c>
      <c r="B33" s="214"/>
      <c r="C33" s="215"/>
      <c r="D33" s="215"/>
      <c r="E33" s="215"/>
      <c r="F33" s="215"/>
      <c r="G33" s="242"/>
      <c r="H33" s="214"/>
      <c r="I33" s="215"/>
      <c r="J33" s="215"/>
      <c r="K33" s="215"/>
      <c r="L33" s="215"/>
      <c r="M33" s="371"/>
      <c r="N33" s="368"/>
      <c r="O33" s="369"/>
      <c r="P33" s="370"/>
    </row>
    <row r="34" spans="1:17" ht="12.75" customHeight="1">
      <c r="A34" s="26" t="s">
        <v>357</v>
      </c>
      <c r="B34" s="214"/>
      <c r="C34" s="215"/>
      <c r="D34" s="215"/>
      <c r="E34" s="215"/>
      <c r="F34" s="215"/>
      <c r="G34" s="242"/>
      <c r="H34" s="214"/>
      <c r="I34" s="215"/>
      <c r="J34" s="215"/>
      <c r="K34" s="215"/>
      <c r="L34" s="215"/>
      <c r="M34" s="371"/>
      <c r="N34" s="368"/>
      <c r="O34" s="369"/>
      <c r="P34" s="370"/>
    </row>
    <row r="35" spans="1:17" ht="12.75" customHeight="1">
      <c r="A35" s="26" t="s">
        <v>555</v>
      </c>
      <c r="B35" s="214"/>
      <c r="C35" s="215"/>
      <c r="D35" s="215"/>
      <c r="E35" s="215"/>
      <c r="F35" s="215"/>
      <c r="G35" s="242"/>
      <c r="H35" s="214"/>
      <c r="I35" s="215"/>
      <c r="J35" s="215"/>
      <c r="K35" s="215"/>
      <c r="L35" s="215"/>
      <c r="M35" s="371"/>
      <c r="N35" s="368"/>
      <c r="O35" s="369"/>
      <c r="P35" s="370"/>
    </row>
    <row r="36" spans="1:17" ht="12.75" customHeight="1">
      <c r="A36" s="26" t="s">
        <v>17</v>
      </c>
      <c r="B36" s="214"/>
      <c r="C36" s="215"/>
      <c r="D36" s="215"/>
      <c r="E36" s="215"/>
      <c r="F36" s="215"/>
      <c r="G36" s="242"/>
      <c r="H36" s="214"/>
      <c r="I36" s="215"/>
      <c r="J36" s="215"/>
      <c r="K36" s="215"/>
      <c r="L36" s="215"/>
      <c r="M36" s="371"/>
      <c r="N36" s="368"/>
      <c r="O36" s="369"/>
      <c r="P36" s="370"/>
    </row>
    <row r="37" spans="1:17" ht="12.75" customHeight="1">
      <c r="A37" s="26" t="s">
        <v>359</v>
      </c>
      <c r="B37" s="214"/>
      <c r="C37" s="215"/>
      <c r="D37" s="215"/>
      <c r="E37" s="215"/>
      <c r="F37" s="215"/>
      <c r="G37" s="242"/>
      <c r="H37" s="214"/>
      <c r="I37" s="215"/>
      <c r="J37" s="215"/>
      <c r="K37" s="215"/>
      <c r="L37" s="215"/>
      <c r="M37" s="371"/>
      <c r="N37" s="368"/>
      <c r="O37" s="369"/>
      <c r="P37" s="370"/>
    </row>
    <row r="38" spans="1:17" ht="12.75" customHeight="1">
      <c r="A38" s="61" t="s">
        <v>362</v>
      </c>
      <c r="B38" s="50">
        <f t="shared" ref="B38:M38" si="5">SUM(B32:B37)</f>
        <v>0</v>
      </c>
      <c r="C38" s="49">
        <f t="shared" si="5"/>
        <v>0</v>
      </c>
      <c r="D38" s="49">
        <f t="shared" si="5"/>
        <v>0</v>
      </c>
      <c r="E38" s="49">
        <f t="shared" si="5"/>
        <v>0</v>
      </c>
      <c r="F38" s="49">
        <f t="shared" si="5"/>
        <v>0</v>
      </c>
      <c r="G38" s="130">
        <f t="shared" si="5"/>
        <v>0</v>
      </c>
      <c r="H38" s="50">
        <f t="shared" si="5"/>
        <v>0</v>
      </c>
      <c r="I38" s="49">
        <f t="shared" si="5"/>
        <v>0</v>
      </c>
      <c r="J38" s="49">
        <f t="shared" si="5"/>
        <v>0</v>
      </c>
      <c r="K38" s="49">
        <f t="shared" si="5"/>
        <v>0</v>
      </c>
      <c r="L38" s="49">
        <f t="shared" si="5"/>
        <v>0</v>
      </c>
      <c r="M38" s="130">
        <f t="shared" si="5"/>
        <v>0</v>
      </c>
      <c r="N38" s="50">
        <f>SUM(N32:N37)</f>
        <v>0</v>
      </c>
      <c r="O38" s="49">
        <f>SUM(O32:O37)</f>
        <v>0</v>
      </c>
      <c r="P38" s="88">
        <f>SUM(P32:P37)</f>
        <v>0</v>
      </c>
    </row>
    <row r="39" spans="1:17" ht="12.75" customHeight="1">
      <c r="A39" s="26" t="s">
        <v>360</v>
      </c>
      <c r="B39" s="214"/>
      <c r="C39" s="215"/>
      <c r="D39" s="215"/>
      <c r="E39" s="215"/>
      <c r="F39" s="215"/>
      <c r="G39" s="242"/>
      <c r="H39" s="214"/>
      <c r="I39" s="215"/>
      <c r="J39" s="215"/>
      <c r="K39" s="215"/>
      <c r="L39" s="215"/>
      <c r="M39" s="371"/>
      <c r="N39" s="368"/>
      <c r="O39" s="369"/>
      <c r="P39" s="370"/>
    </row>
    <row r="40" spans="1:17" ht="12.75" customHeight="1">
      <c r="A40" s="26" t="s">
        <v>361</v>
      </c>
      <c r="B40" s="214"/>
      <c r="C40" s="215"/>
      <c r="D40" s="215"/>
      <c r="E40" s="215"/>
      <c r="F40" s="215"/>
      <c r="G40" s="242"/>
      <c r="H40" s="214"/>
      <c r="I40" s="215"/>
      <c r="J40" s="215"/>
      <c r="K40" s="215"/>
      <c r="L40" s="215"/>
      <c r="M40" s="371"/>
      <c r="N40" s="368"/>
      <c r="O40" s="369"/>
      <c r="P40" s="370"/>
    </row>
    <row r="41" spans="1:17" ht="12.75" customHeight="1">
      <c r="A41" s="26" t="s">
        <v>393</v>
      </c>
      <c r="B41" s="214"/>
      <c r="C41" s="215"/>
      <c r="D41" s="215"/>
      <c r="E41" s="215"/>
      <c r="F41" s="215"/>
      <c r="G41" s="242"/>
      <c r="H41" s="214"/>
      <c r="I41" s="215"/>
      <c r="J41" s="215"/>
      <c r="K41" s="215"/>
      <c r="L41" s="215"/>
      <c r="M41" s="371"/>
      <c r="N41" s="368"/>
      <c r="O41" s="369"/>
      <c r="P41" s="370"/>
    </row>
    <row r="42" spans="1:17" ht="12.75" customHeight="1">
      <c r="A42" s="26" t="s">
        <v>218</v>
      </c>
      <c r="B42" s="214"/>
      <c r="C42" s="215"/>
      <c r="D42" s="215"/>
      <c r="E42" s="215"/>
      <c r="F42" s="215"/>
      <c r="G42" s="242"/>
      <c r="H42" s="214"/>
      <c r="I42" s="215"/>
      <c r="J42" s="215"/>
      <c r="K42" s="215"/>
      <c r="L42" s="215"/>
      <c r="M42" s="371"/>
      <c r="N42" s="368"/>
      <c r="O42" s="369"/>
      <c r="P42" s="370"/>
    </row>
    <row r="43" spans="1:17" ht="12.75" customHeight="1">
      <c r="A43" s="61" t="s">
        <v>363</v>
      </c>
      <c r="B43" s="50">
        <f>SUM(B39:B42)</f>
        <v>0</v>
      </c>
      <c r="C43" s="49">
        <f t="shared" ref="C43:M43" si="6">SUM(C39:C42)</f>
        <v>0</v>
      </c>
      <c r="D43" s="49">
        <f t="shared" si="6"/>
        <v>0</v>
      </c>
      <c r="E43" s="49">
        <f t="shared" si="6"/>
        <v>0</v>
      </c>
      <c r="F43" s="49">
        <f t="shared" si="6"/>
        <v>0</v>
      </c>
      <c r="G43" s="130">
        <f t="shared" si="6"/>
        <v>0</v>
      </c>
      <c r="H43" s="50">
        <f t="shared" si="6"/>
        <v>0</v>
      </c>
      <c r="I43" s="49">
        <f t="shared" si="6"/>
        <v>0</v>
      </c>
      <c r="J43" s="49">
        <f t="shared" si="6"/>
        <v>0</v>
      </c>
      <c r="K43" s="49">
        <f t="shared" si="6"/>
        <v>0</v>
      </c>
      <c r="L43" s="49">
        <f t="shared" si="6"/>
        <v>0</v>
      </c>
      <c r="M43" s="130">
        <f t="shared" si="6"/>
        <v>0</v>
      </c>
      <c r="N43" s="50">
        <f>SUM(N39:N42)</f>
        <v>0</v>
      </c>
      <c r="O43" s="49">
        <f>SUM(O39:O42)</f>
        <v>0</v>
      </c>
      <c r="P43" s="88">
        <f>SUM(P39:P42)</f>
        <v>0</v>
      </c>
    </row>
    <row r="44" spans="1:17" ht="12.75" customHeight="1">
      <c r="A44" s="26" t="s">
        <v>556</v>
      </c>
      <c r="B44" s="214"/>
      <c r="C44" s="215"/>
      <c r="D44" s="215"/>
      <c r="E44" s="215"/>
      <c r="F44" s="215"/>
      <c r="G44" s="242"/>
      <c r="H44" s="214"/>
      <c r="I44" s="215"/>
      <c r="J44" s="215"/>
      <c r="K44" s="215"/>
      <c r="L44" s="215"/>
      <c r="M44" s="371"/>
      <c r="N44" s="368"/>
      <c r="O44" s="369"/>
      <c r="P44" s="370"/>
    </row>
    <row r="45" spans="1:17" ht="12.75" customHeight="1">
      <c r="A45" s="26" t="s">
        <v>373</v>
      </c>
      <c r="B45" s="214"/>
      <c r="C45" s="215"/>
      <c r="D45" s="215"/>
      <c r="E45" s="215"/>
      <c r="F45" s="215"/>
      <c r="G45" s="242"/>
      <c r="H45" s="214"/>
      <c r="I45" s="215"/>
      <c r="J45" s="215"/>
      <c r="K45" s="215"/>
      <c r="L45" s="215"/>
      <c r="M45" s="371"/>
      <c r="N45" s="368"/>
      <c r="O45" s="369"/>
      <c r="P45" s="370"/>
    </row>
    <row r="46" spans="1:17" ht="12.75" customHeight="1">
      <c r="A46" s="26" t="s">
        <v>336</v>
      </c>
      <c r="B46" s="214"/>
      <c r="C46" s="215"/>
      <c r="D46" s="215"/>
      <c r="E46" s="215"/>
      <c r="F46" s="215"/>
      <c r="G46" s="242"/>
      <c r="H46" s="214"/>
      <c r="I46" s="215"/>
      <c r="J46" s="215"/>
      <c r="K46" s="215"/>
      <c r="L46" s="215"/>
      <c r="M46" s="371"/>
      <c r="N46" s="368"/>
      <c r="O46" s="369"/>
      <c r="P46" s="370"/>
    </row>
    <row r="47" spans="1:17" ht="12.75" customHeight="1">
      <c r="A47" s="61" t="s">
        <v>364</v>
      </c>
      <c r="B47" s="50">
        <f>SUM(B44:B46)</f>
        <v>0</v>
      </c>
      <c r="C47" s="49">
        <f t="shared" ref="C47:M47" si="7">SUM(C44:C46)</f>
        <v>0</v>
      </c>
      <c r="D47" s="49">
        <f t="shared" si="7"/>
        <v>0</v>
      </c>
      <c r="E47" s="49">
        <f t="shared" si="7"/>
        <v>0</v>
      </c>
      <c r="F47" s="49">
        <f t="shared" si="7"/>
        <v>0</v>
      </c>
      <c r="G47" s="130">
        <f t="shared" si="7"/>
        <v>0</v>
      </c>
      <c r="H47" s="50">
        <f t="shared" si="7"/>
        <v>0</v>
      </c>
      <c r="I47" s="49">
        <f t="shared" si="7"/>
        <v>0</v>
      </c>
      <c r="J47" s="49">
        <f t="shared" si="7"/>
        <v>0</v>
      </c>
      <c r="K47" s="49">
        <f t="shared" si="7"/>
        <v>0</v>
      </c>
      <c r="L47" s="49">
        <f t="shared" si="7"/>
        <v>0</v>
      </c>
      <c r="M47" s="49">
        <f t="shared" si="7"/>
        <v>0</v>
      </c>
      <c r="N47" s="398">
        <f>M48</f>
        <v>0</v>
      </c>
      <c r="O47" s="49">
        <f>N48</f>
        <v>0</v>
      </c>
      <c r="P47" s="88">
        <f>O48</f>
        <v>0</v>
      </c>
    </row>
    <row r="48" spans="1:17" s="103" customFormat="1" ht="12.75" customHeight="1">
      <c r="A48" s="165" t="s">
        <v>375</v>
      </c>
      <c r="B48" s="52">
        <f>B38+B43+B47</f>
        <v>0</v>
      </c>
      <c r="C48" s="51">
        <f t="shared" ref="C48:M48" si="8">C38+C43+C47</f>
        <v>0</v>
      </c>
      <c r="D48" s="51">
        <f t="shared" si="8"/>
        <v>0</v>
      </c>
      <c r="E48" s="51">
        <f t="shared" si="8"/>
        <v>0</v>
      </c>
      <c r="F48" s="51">
        <f t="shared" si="8"/>
        <v>0</v>
      </c>
      <c r="G48" s="166">
        <f t="shared" si="8"/>
        <v>0</v>
      </c>
      <c r="H48" s="52">
        <f t="shared" si="8"/>
        <v>0</v>
      </c>
      <c r="I48" s="51">
        <f t="shared" si="8"/>
        <v>0</v>
      </c>
      <c r="J48" s="51">
        <f t="shared" si="8"/>
        <v>0</v>
      </c>
      <c r="K48" s="51">
        <f t="shared" si="8"/>
        <v>0</v>
      </c>
      <c r="L48" s="51">
        <f t="shared" si="8"/>
        <v>0</v>
      </c>
      <c r="M48" s="166">
        <f t="shared" si="8"/>
        <v>0</v>
      </c>
      <c r="N48" s="52">
        <f>N38+N43+N47</f>
        <v>0</v>
      </c>
      <c r="O48" s="51">
        <f>O38+O43+O47</f>
        <v>0</v>
      </c>
      <c r="P48" s="114">
        <f>P38+P43+P47</f>
        <v>0</v>
      </c>
      <c r="Q48" s="169"/>
    </row>
    <row r="49" spans="1:16" ht="12.75" customHeight="1">
      <c r="A49" s="45" t="s">
        <v>131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58"/>
      <c r="O49" s="47"/>
      <c r="P49" s="47"/>
    </row>
    <row r="50" spans="1:16">
      <c r="A50" s="71"/>
      <c r="N50" s="90"/>
      <c r="O50" s="90"/>
      <c r="P50" s="90"/>
    </row>
  </sheetData>
  <mergeCells count="2">
    <mergeCell ref="A2:A3"/>
    <mergeCell ref="B2:M2"/>
  </mergeCells>
  <phoneticPr fontId="2" type="noConversion"/>
  <dataValidations count="1">
    <dataValidation type="whole" allowBlank="1" showInputMessage="1" showErrorMessage="1" sqref="D44:P46 D13:P24 D28:P28 D32:P37 D39:P42 D6:P9">
      <formula1>-9999999999999</formula1>
      <formula2>9999999999999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rgb="FFC4FCDF"/>
  </sheetPr>
  <dimension ref="A1:X125"/>
  <sheetViews>
    <sheetView showGridLines="0" zoomScale="80" zoomScaleNormal="80" workbookViewId="0"/>
  </sheetViews>
  <sheetFormatPr defaultRowHeight="12.75"/>
  <cols>
    <col min="1" max="1" width="35.7109375" style="20" customWidth="1"/>
    <col min="2" max="2" width="3.140625" style="48" customWidth="1"/>
    <col min="3" max="11" width="8.7109375" style="20" customWidth="1"/>
    <col min="12" max="12" width="9.85546875" style="20" customWidth="1"/>
    <col min="13" max="13" width="9.57031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>
      <c r="A1" s="19" t="str">
        <f>MEAB10a&amp;" - "&amp;Date</f>
        <v xml:space="preserve"> - Supporting Table SE6a   Adjustments capital expenditure on new assets by asset category - </v>
      </c>
    </row>
    <row r="2" spans="1:13" ht="38.25">
      <c r="A2" s="428" t="str">
        <f>desc</f>
        <v>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3" ht="12.75" customHeight="1">
      <c r="A3" s="429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3">
      <c r="A4" s="317"/>
      <c r="B4" s="318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3">
      <c r="A5" s="321" t="s">
        <v>199</v>
      </c>
      <c r="B5" s="74">
        <v>1</v>
      </c>
      <c r="C5" s="322" t="s">
        <v>111</v>
      </c>
      <c r="D5" s="323" t="s">
        <v>325</v>
      </c>
      <c r="E5" s="323" t="s">
        <v>81</v>
      </c>
      <c r="F5" s="323" t="s">
        <v>37</v>
      </c>
      <c r="G5" s="324" t="s">
        <v>139</v>
      </c>
      <c r="H5" s="324" t="s">
        <v>12</v>
      </c>
      <c r="I5" s="324" t="s">
        <v>13</v>
      </c>
      <c r="J5" s="324" t="s">
        <v>14</v>
      </c>
      <c r="K5" s="134"/>
      <c r="L5" s="173"/>
    </row>
    <row r="6" spans="1:13" ht="12.75" customHeight="1">
      <c r="A6" s="381" t="s">
        <v>922</v>
      </c>
      <c r="B6" s="307"/>
      <c r="C6" s="326"/>
      <c r="D6" s="67"/>
      <c r="E6" s="67"/>
      <c r="F6" s="67"/>
      <c r="G6" s="67"/>
      <c r="H6" s="67"/>
      <c r="I6" s="67"/>
      <c r="J6" s="67"/>
      <c r="K6" s="67"/>
      <c r="L6" s="86"/>
    </row>
    <row r="7" spans="1:13" ht="5.0999999999999996" customHeight="1">
      <c r="A7" s="23"/>
      <c r="B7" s="307"/>
      <c r="C7" s="30"/>
      <c r="D7" s="29"/>
      <c r="E7" s="29"/>
      <c r="F7" s="29"/>
      <c r="G7" s="29"/>
      <c r="H7" s="29"/>
      <c r="I7" s="29"/>
      <c r="J7" s="29"/>
      <c r="K7" s="29"/>
      <c r="L7" s="87"/>
    </row>
    <row r="8" spans="1:13" ht="11.25" customHeight="1">
      <c r="A8" s="293" t="s">
        <v>173</v>
      </c>
      <c r="B8" s="308"/>
      <c r="C8" s="320">
        <f t="shared" ref="C8:K8" si="0">C9+C12+C16+C20+C23</f>
        <v>0</v>
      </c>
      <c r="D8" s="319">
        <f t="shared" si="0"/>
        <v>0</v>
      </c>
      <c r="E8" s="319">
        <f t="shared" si="0"/>
        <v>0</v>
      </c>
      <c r="F8" s="319">
        <f t="shared" si="0"/>
        <v>0</v>
      </c>
      <c r="G8" s="319">
        <f t="shared" si="0"/>
        <v>0</v>
      </c>
      <c r="H8" s="319">
        <f t="shared" si="0"/>
        <v>0</v>
      </c>
      <c r="I8" s="319">
        <f t="shared" ref="I8:I71" si="1">SUM(E8:H8)</f>
        <v>0</v>
      </c>
      <c r="J8" s="319">
        <f t="shared" ref="J8:J71" si="2">IF(D8=0,C8+I8,D8+I8)</f>
        <v>0</v>
      </c>
      <c r="K8" s="319">
        <f t="shared" si="0"/>
        <v>0</v>
      </c>
      <c r="L8" s="327">
        <f>L9+L12+L16+L20+L23</f>
        <v>0</v>
      </c>
    </row>
    <row r="9" spans="1:13" s="375" customFormat="1" ht="13.5">
      <c r="A9" s="274" t="s">
        <v>557</v>
      </c>
      <c r="B9" s="308"/>
      <c r="C9" s="338">
        <f>SUM(C10:C11)</f>
        <v>0</v>
      </c>
      <c r="D9" s="339">
        <f t="shared" ref="D9:K9" si="3">SUM(D10:D11)</f>
        <v>0</v>
      </c>
      <c r="E9" s="339">
        <f t="shared" si="3"/>
        <v>0</v>
      </c>
      <c r="F9" s="339">
        <f t="shared" si="3"/>
        <v>0</v>
      </c>
      <c r="G9" s="339">
        <f t="shared" si="3"/>
        <v>0</v>
      </c>
      <c r="H9" s="339">
        <f t="shared" si="3"/>
        <v>0</v>
      </c>
      <c r="I9" s="339">
        <f t="shared" si="1"/>
        <v>0</v>
      </c>
      <c r="J9" s="339">
        <f t="shared" si="2"/>
        <v>0</v>
      </c>
      <c r="K9" s="339">
        <f t="shared" si="3"/>
        <v>0</v>
      </c>
      <c r="L9" s="340">
        <f>SUM(L10:L11)</f>
        <v>0</v>
      </c>
      <c r="M9" s="20"/>
    </row>
    <row r="10" spans="1:13" s="375" customFormat="1" ht="13.5">
      <c r="A10" s="294" t="s">
        <v>558</v>
      </c>
      <c r="B10" s="308"/>
      <c r="C10" s="214"/>
      <c r="D10" s="215"/>
      <c r="E10" s="215"/>
      <c r="F10" s="215"/>
      <c r="G10" s="215"/>
      <c r="H10" s="215"/>
      <c r="I10" s="347">
        <f t="shared" si="1"/>
        <v>0</v>
      </c>
      <c r="J10" s="347">
        <f t="shared" si="2"/>
        <v>0</v>
      </c>
      <c r="K10" s="215"/>
      <c r="L10" s="216"/>
      <c r="M10" s="20"/>
    </row>
    <row r="11" spans="1:13" s="375" customFormat="1" ht="13.5">
      <c r="A11" s="294" t="s">
        <v>559</v>
      </c>
      <c r="B11" s="308"/>
      <c r="C11" s="214"/>
      <c r="D11" s="215"/>
      <c r="E11" s="215"/>
      <c r="F11" s="215"/>
      <c r="G11" s="215"/>
      <c r="H11" s="215"/>
      <c r="I11" s="347">
        <f t="shared" si="1"/>
        <v>0</v>
      </c>
      <c r="J11" s="347">
        <f t="shared" si="2"/>
        <v>0</v>
      </c>
      <c r="K11" s="215"/>
      <c r="L11" s="216"/>
      <c r="M11" s="20"/>
    </row>
    <row r="12" spans="1:13" s="375" customFormat="1" ht="13.5">
      <c r="A12" s="274" t="s">
        <v>560</v>
      </c>
      <c r="B12" s="308"/>
      <c r="C12" s="350">
        <f>SUM(C13:C15)</f>
        <v>0</v>
      </c>
      <c r="D12" s="347">
        <f t="shared" ref="D12:K12" si="4">SUM(D13:D15)</f>
        <v>0</v>
      </c>
      <c r="E12" s="347">
        <f t="shared" si="4"/>
        <v>0</v>
      </c>
      <c r="F12" s="347">
        <f t="shared" si="4"/>
        <v>0</v>
      </c>
      <c r="G12" s="347">
        <f t="shared" si="4"/>
        <v>0</v>
      </c>
      <c r="H12" s="347">
        <f t="shared" si="4"/>
        <v>0</v>
      </c>
      <c r="I12" s="347">
        <f t="shared" si="1"/>
        <v>0</v>
      </c>
      <c r="J12" s="347">
        <f t="shared" si="2"/>
        <v>0</v>
      </c>
      <c r="K12" s="347">
        <f t="shared" si="4"/>
        <v>0</v>
      </c>
      <c r="L12" s="348">
        <f>SUM(L13:L15)</f>
        <v>0</v>
      </c>
      <c r="M12" s="20"/>
    </row>
    <row r="13" spans="1:13" s="375" customFormat="1" ht="13.5">
      <c r="A13" s="294" t="s">
        <v>561</v>
      </c>
      <c r="B13" s="308"/>
      <c r="C13" s="214"/>
      <c r="D13" s="215"/>
      <c r="E13" s="215"/>
      <c r="F13" s="215"/>
      <c r="G13" s="215"/>
      <c r="H13" s="215"/>
      <c r="I13" s="347">
        <f t="shared" si="1"/>
        <v>0</v>
      </c>
      <c r="J13" s="347">
        <f t="shared" si="2"/>
        <v>0</v>
      </c>
      <c r="K13" s="215"/>
      <c r="L13" s="216"/>
      <c r="M13" s="20"/>
    </row>
    <row r="14" spans="1:13" s="375" customFormat="1" ht="13.5">
      <c r="A14" s="294" t="s">
        <v>562</v>
      </c>
      <c r="B14" s="308"/>
      <c r="C14" s="214"/>
      <c r="D14" s="215"/>
      <c r="E14" s="215"/>
      <c r="F14" s="215"/>
      <c r="G14" s="215"/>
      <c r="H14" s="215"/>
      <c r="I14" s="347">
        <f t="shared" si="1"/>
        <v>0</v>
      </c>
      <c r="J14" s="347">
        <f t="shared" si="2"/>
        <v>0</v>
      </c>
      <c r="K14" s="215"/>
      <c r="L14" s="216"/>
      <c r="M14" s="20"/>
    </row>
    <row r="15" spans="1:13" s="375" customFormat="1" ht="13.5">
      <c r="A15" s="294" t="s">
        <v>52</v>
      </c>
      <c r="B15" s="308"/>
      <c r="C15" s="214"/>
      <c r="D15" s="215"/>
      <c r="E15" s="215"/>
      <c r="F15" s="215"/>
      <c r="G15" s="215"/>
      <c r="H15" s="215"/>
      <c r="I15" s="347">
        <f t="shared" si="1"/>
        <v>0</v>
      </c>
      <c r="J15" s="347">
        <f t="shared" si="2"/>
        <v>0</v>
      </c>
      <c r="K15" s="215"/>
      <c r="L15" s="216"/>
      <c r="M15" s="20"/>
    </row>
    <row r="16" spans="1:13" s="375" customFormat="1" ht="13.5">
      <c r="A16" s="295" t="s">
        <v>563</v>
      </c>
      <c r="B16" s="309"/>
      <c r="C16" s="350">
        <f>SUM(C17:C19)</f>
        <v>0</v>
      </c>
      <c r="D16" s="347">
        <f t="shared" ref="D16:K16" si="5">SUM(D17:D19)</f>
        <v>0</v>
      </c>
      <c r="E16" s="347">
        <f t="shared" si="5"/>
        <v>0</v>
      </c>
      <c r="F16" s="347">
        <f t="shared" si="5"/>
        <v>0</v>
      </c>
      <c r="G16" s="347">
        <f t="shared" si="5"/>
        <v>0</v>
      </c>
      <c r="H16" s="347">
        <f t="shared" si="5"/>
        <v>0</v>
      </c>
      <c r="I16" s="347">
        <f t="shared" si="1"/>
        <v>0</v>
      </c>
      <c r="J16" s="347">
        <f t="shared" si="2"/>
        <v>0</v>
      </c>
      <c r="K16" s="347">
        <f t="shared" si="5"/>
        <v>0</v>
      </c>
      <c r="L16" s="348">
        <f>SUM(L17:L19)</f>
        <v>0</v>
      </c>
      <c r="M16" s="20"/>
    </row>
    <row r="17" spans="1:13" s="375" customFormat="1" ht="13.5">
      <c r="A17" s="294" t="s">
        <v>564</v>
      </c>
      <c r="B17" s="308"/>
      <c r="C17" s="214"/>
      <c r="D17" s="215"/>
      <c r="E17" s="215"/>
      <c r="F17" s="215"/>
      <c r="G17" s="215"/>
      <c r="H17" s="215"/>
      <c r="I17" s="347">
        <f t="shared" si="1"/>
        <v>0</v>
      </c>
      <c r="J17" s="347">
        <f t="shared" si="2"/>
        <v>0</v>
      </c>
      <c r="K17" s="215"/>
      <c r="L17" s="216"/>
      <c r="M17" s="20"/>
    </row>
    <row r="18" spans="1:13" s="375" customFormat="1" ht="13.5">
      <c r="A18" s="294" t="s">
        <v>565</v>
      </c>
      <c r="B18" s="308"/>
      <c r="C18" s="214"/>
      <c r="D18" s="215"/>
      <c r="E18" s="215"/>
      <c r="F18" s="215"/>
      <c r="G18" s="215"/>
      <c r="H18" s="215"/>
      <c r="I18" s="347">
        <f t="shared" si="1"/>
        <v>0</v>
      </c>
      <c r="J18" s="347">
        <f t="shared" si="2"/>
        <v>0</v>
      </c>
      <c r="K18" s="215"/>
      <c r="L18" s="216"/>
      <c r="M18" s="20"/>
    </row>
    <row r="19" spans="1:13" s="375" customFormat="1" ht="13.5">
      <c r="A19" s="294" t="s">
        <v>566</v>
      </c>
      <c r="B19" s="308"/>
      <c r="C19" s="214"/>
      <c r="D19" s="215"/>
      <c r="E19" s="215"/>
      <c r="F19" s="215"/>
      <c r="G19" s="215"/>
      <c r="H19" s="215"/>
      <c r="I19" s="347">
        <f t="shared" si="1"/>
        <v>0</v>
      </c>
      <c r="J19" s="347">
        <f t="shared" si="2"/>
        <v>0</v>
      </c>
      <c r="K19" s="215"/>
      <c r="L19" s="216"/>
      <c r="M19" s="20"/>
    </row>
    <row r="20" spans="1:13" s="375" customFormat="1" ht="13.5">
      <c r="A20" s="295" t="s">
        <v>567</v>
      </c>
      <c r="B20" s="308"/>
      <c r="C20" s="350">
        <f t="shared" ref="C20:K20" si="6">SUM(C21:C22)</f>
        <v>0</v>
      </c>
      <c r="D20" s="347">
        <f t="shared" si="6"/>
        <v>0</v>
      </c>
      <c r="E20" s="347">
        <f t="shared" si="6"/>
        <v>0</v>
      </c>
      <c r="F20" s="347">
        <f t="shared" si="6"/>
        <v>0</v>
      </c>
      <c r="G20" s="347">
        <f t="shared" si="6"/>
        <v>0</v>
      </c>
      <c r="H20" s="347">
        <f t="shared" si="6"/>
        <v>0</v>
      </c>
      <c r="I20" s="347">
        <f t="shared" si="1"/>
        <v>0</v>
      </c>
      <c r="J20" s="347">
        <f t="shared" si="2"/>
        <v>0</v>
      </c>
      <c r="K20" s="347">
        <f t="shared" si="6"/>
        <v>0</v>
      </c>
      <c r="L20" s="348">
        <f>SUM(L21:L22)</f>
        <v>0</v>
      </c>
      <c r="M20" s="20"/>
    </row>
    <row r="21" spans="1:13" s="375" customFormat="1" ht="13.5">
      <c r="A21" s="294" t="s">
        <v>566</v>
      </c>
      <c r="B21" s="308"/>
      <c r="C21" s="214"/>
      <c r="D21" s="215"/>
      <c r="E21" s="215"/>
      <c r="F21" s="215"/>
      <c r="G21" s="215"/>
      <c r="H21" s="215"/>
      <c r="I21" s="347">
        <f t="shared" si="1"/>
        <v>0</v>
      </c>
      <c r="J21" s="347">
        <f t="shared" si="2"/>
        <v>0</v>
      </c>
      <c r="K21" s="215"/>
      <c r="L21" s="216"/>
      <c r="M21" s="20"/>
    </row>
    <row r="22" spans="1:13" s="375" customFormat="1" ht="13.5">
      <c r="A22" s="294" t="s">
        <v>568</v>
      </c>
      <c r="B22" s="308"/>
      <c r="C22" s="214"/>
      <c r="D22" s="215"/>
      <c r="E22" s="215"/>
      <c r="F22" s="215"/>
      <c r="G22" s="215"/>
      <c r="H22" s="215"/>
      <c r="I22" s="347">
        <f t="shared" si="1"/>
        <v>0</v>
      </c>
      <c r="J22" s="347">
        <f t="shared" si="2"/>
        <v>0</v>
      </c>
      <c r="K22" s="215"/>
      <c r="L22" s="216"/>
      <c r="M22" s="20"/>
    </row>
    <row r="23" spans="1:13" s="375" customFormat="1" ht="13.5">
      <c r="A23" s="274" t="s">
        <v>569</v>
      </c>
      <c r="B23" s="308"/>
      <c r="C23" s="350">
        <f>SUM(C24:C27)</f>
        <v>0</v>
      </c>
      <c r="D23" s="347">
        <f t="shared" ref="D23:K23" si="7">SUM(D24:D27)</f>
        <v>0</v>
      </c>
      <c r="E23" s="347">
        <f t="shared" si="7"/>
        <v>0</v>
      </c>
      <c r="F23" s="347">
        <f t="shared" si="7"/>
        <v>0</v>
      </c>
      <c r="G23" s="347">
        <f t="shared" si="7"/>
        <v>0</v>
      </c>
      <c r="H23" s="347">
        <f t="shared" si="7"/>
        <v>0</v>
      </c>
      <c r="I23" s="347">
        <f t="shared" si="1"/>
        <v>0</v>
      </c>
      <c r="J23" s="347">
        <f t="shared" si="2"/>
        <v>0</v>
      </c>
      <c r="K23" s="347">
        <f t="shared" si="7"/>
        <v>0</v>
      </c>
      <c r="L23" s="348">
        <f>SUM(L24:L27)</f>
        <v>0</v>
      </c>
      <c r="M23" s="20"/>
    </row>
    <row r="24" spans="1:13" s="375" customFormat="1" ht="13.5">
      <c r="A24" s="294" t="s">
        <v>570</v>
      </c>
      <c r="B24" s="308"/>
      <c r="C24" s="214"/>
      <c r="D24" s="215"/>
      <c r="E24" s="215"/>
      <c r="F24" s="215"/>
      <c r="G24" s="215"/>
      <c r="H24" s="215"/>
      <c r="I24" s="347">
        <f t="shared" si="1"/>
        <v>0</v>
      </c>
      <c r="J24" s="347">
        <f t="shared" si="2"/>
        <v>0</v>
      </c>
      <c r="K24" s="215"/>
      <c r="L24" s="216"/>
      <c r="M24" s="20"/>
    </row>
    <row r="25" spans="1:13" s="375" customFormat="1" ht="13.5">
      <c r="A25" s="294" t="s">
        <v>571</v>
      </c>
      <c r="B25" s="308">
        <v>2</v>
      </c>
      <c r="C25" s="214"/>
      <c r="D25" s="215"/>
      <c r="E25" s="215"/>
      <c r="F25" s="215"/>
      <c r="G25" s="215"/>
      <c r="H25" s="215"/>
      <c r="I25" s="347">
        <f t="shared" si="1"/>
        <v>0</v>
      </c>
      <c r="J25" s="347">
        <f t="shared" si="2"/>
        <v>0</v>
      </c>
      <c r="K25" s="215"/>
      <c r="L25" s="216"/>
      <c r="M25" s="20"/>
    </row>
    <row r="26" spans="1:13" s="375" customFormat="1" ht="13.5">
      <c r="A26" s="294" t="s">
        <v>53</v>
      </c>
      <c r="B26" s="308"/>
      <c r="C26" s="214"/>
      <c r="D26" s="215"/>
      <c r="E26" s="215"/>
      <c r="F26" s="215"/>
      <c r="G26" s="215"/>
      <c r="H26" s="215"/>
      <c r="I26" s="347">
        <f t="shared" si="1"/>
        <v>0</v>
      </c>
      <c r="J26" s="347">
        <f t="shared" si="2"/>
        <v>0</v>
      </c>
      <c r="K26" s="215"/>
      <c r="L26" s="216"/>
      <c r="M26" s="20"/>
    </row>
    <row r="27" spans="1:13" s="375" customFormat="1" ht="13.5">
      <c r="A27" s="294" t="s">
        <v>246</v>
      </c>
      <c r="B27" s="308">
        <v>3</v>
      </c>
      <c r="C27" s="214"/>
      <c r="D27" s="215"/>
      <c r="E27" s="215"/>
      <c r="F27" s="215"/>
      <c r="G27" s="215"/>
      <c r="H27" s="215"/>
      <c r="I27" s="347">
        <f t="shared" si="1"/>
        <v>0</v>
      </c>
      <c r="J27" s="347">
        <f t="shared" si="2"/>
        <v>0</v>
      </c>
      <c r="K27" s="215"/>
      <c r="L27" s="216"/>
      <c r="M27" s="20"/>
    </row>
    <row r="28" spans="1:13" ht="5.0999999999999996" customHeight="1">
      <c r="A28" s="27"/>
      <c r="B28" s="307"/>
      <c r="C28" s="30"/>
      <c r="D28" s="29"/>
      <c r="E28" s="29"/>
      <c r="F28" s="29"/>
      <c r="G28" s="29"/>
      <c r="H28" s="29"/>
      <c r="I28" s="243">
        <f t="shared" si="1"/>
        <v>0</v>
      </c>
      <c r="J28" s="243">
        <f t="shared" si="2"/>
        <v>0</v>
      </c>
      <c r="K28" s="29"/>
      <c r="L28" s="87"/>
    </row>
    <row r="29" spans="1:13" ht="12.75" customHeight="1">
      <c r="A29" s="23" t="s">
        <v>376</v>
      </c>
      <c r="B29" s="307"/>
      <c r="C29" s="351">
        <f t="shared" ref="C29:K29" si="8">SUM(C30:C43)</f>
        <v>0</v>
      </c>
      <c r="D29" s="352">
        <f t="shared" si="8"/>
        <v>0</v>
      </c>
      <c r="E29" s="352">
        <f t="shared" si="8"/>
        <v>0</v>
      </c>
      <c r="F29" s="352">
        <f t="shared" si="8"/>
        <v>0</v>
      </c>
      <c r="G29" s="352">
        <f t="shared" si="8"/>
        <v>0</v>
      </c>
      <c r="H29" s="352">
        <f t="shared" si="8"/>
        <v>0</v>
      </c>
      <c r="I29" s="353">
        <f t="shared" si="1"/>
        <v>0</v>
      </c>
      <c r="J29" s="353">
        <f t="shared" si="2"/>
        <v>0</v>
      </c>
      <c r="K29" s="352">
        <f t="shared" si="8"/>
        <v>0</v>
      </c>
      <c r="L29" s="354">
        <f>SUM(L30:L43)</f>
        <v>0</v>
      </c>
    </row>
    <row r="30" spans="1:13" ht="12.75" customHeight="1">
      <c r="A30" s="274" t="s">
        <v>572</v>
      </c>
      <c r="B30" s="307"/>
      <c r="C30" s="214"/>
      <c r="D30" s="215"/>
      <c r="E30" s="215"/>
      <c r="F30" s="215"/>
      <c r="G30" s="215"/>
      <c r="H30" s="215"/>
      <c r="I30" s="347">
        <f t="shared" si="1"/>
        <v>0</v>
      </c>
      <c r="J30" s="347">
        <f t="shared" si="2"/>
        <v>0</v>
      </c>
      <c r="K30" s="215"/>
      <c r="L30" s="216"/>
    </row>
    <row r="31" spans="1:13" ht="12.75" customHeight="1">
      <c r="A31" s="274" t="s">
        <v>573</v>
      </c>
      <c r="B31" s="307"/>
      <c r="C31" s="214"/>
      <c r="D31" s="215"/>
      <c r="E31" s="215"/>
      <c r="F31" s="215"/>
      <c r="G31" s="215"/>
      <c r="H31" s="215"/>
      <c r="I31" s="347">
        <f t="shared" si="1"/>
        <v>0</v>
      </c>
      <c r="J31" s="347">
        <f t="shared" si="2"/>
        <v>0</v>
      </c>
      <c r="K31" s="215"/>
      <c r="L31" s="216"/>
    </row>
    <row r="32" spans="1:13" ht="12.75" customHeight="1">
      <c r="A32" s="274" t="s">
        <v>574</v>
      </c>
      <c r="B32" s="307"/>
      <c r="C32" s="214"/>
      <c r="D32" s="215"/>
      <c r="E32" s="215"/>
      <c r="F32" s="215"/>
      <c r="G32" s="215"/>
      <c r="H32" s="215"/>
      <c r="I32" s="347">
        <f t="shared" si="1"/>
        <v>0</v>
      </c>
      <c r="J32" s="347">
        <f t="shared" si="2"/>
        <v>0</v>
      </c>
      <c r="K32" s="215"/>
      <c r="L32" s="216"/>
    </row>
    <row r="33" spans="1:12" ht="12.75" customHeight="1">
      <c r="A33" s="274" t="s">
        <v>575</v>
      </c>
      <c r="B33" s="307"/>
      <c r="C33" s="214"/>
      <c r="D33" s="215"/>
      <c r="E33" s="215"/>
      <c r="F33" s="215"/>
      <c r="G33" s="215"/>
      <c r="H33" s="215"/>
      <c r="I33" s="347">
        <f t="shared" si="1"/>
        <v>0</v>
      </c>
      <c r="J33" s="347">
        <f t="shared" si="2"/>
        <v>0</v>
      </c>
      <c r="K33" s="215"/>
      <c r="L33" s="216"/>
    </row>
    <row r="34" spans="1:12" ht="12.75" customHeight="1">
      <c r="A34" s="274" t="s">
        <v>93</v>
      </c>
      <c r="B34" s="307"/>
      <c r="C34" s="214"/>
      <c r="D34" s="215"/>
      <c r="E34" s="215"/>
      <c r="F34" s="215"/>
      <c r="G34" s="215"/>
      <c r="H34" s="215"/>
      <c r="I34" s="347">
        <f t="shared" si="1"/>
        <v>0</v>
      </c>
      <c r="J34" s="347">
        <f t="shared" si="2"/>
        <v>0</v>
      </c>
      <c r="K34" s="215"/>
      <c r="L34" s="216"/>
    </row>
    <row r="35" spans="1:12" ht="12.75" customHeight="1">
      <c r="A35" s="274" t="s">
        <v>576</v>
      </c>
      <c r="B35" s="307"/>
      <c r="C35" s="214"/>
      <c r="D35" s="215"/>
      <c r="E35" s="215"/>
      <c r="F35" s="215"/>
      <c r="G35" s="215"/>
      <c r="H35" s="215"/>
      <c r="I35" s="347">
        <f t="shared" si="1"/>
        <v>0</v>
      </c>
      <c r="J35" s="347">
        <f t="shared" si="2"/>
        <v>0</v>
      </c>
      <c r="K35" s="215"/>
      <c r="L35" s="216"/>
    </row>
    <row r="36" spans="1:12" ht="12.75" customHeight="1">
      <c r="A36" s="274" t="s">
        <v>577</v>
      </c>
      <c r="B36" s="307"/>
      <c r="C36" s="214"/>
      <c r="D36" s="215"/>
      <c r="E36" s="215"/>
      <c r="F36" s="215"/>
      <c r="G36" s="215"/>
      <c r="H36" s="215"/>
      <c r="I36" s="347">
        <f t="shared" si="1"/>
        <v>0</v>
      </c>
      <c r="J36" s="347">
        <f t="shared" si="2"/>
        <v>0</v>
      </c>
      <c r="K36" s="215"/>
      <c r="L36" s="216"/>
    </row>
    <row r="37" spans="1:12" ht="12.75" customHeight="1">
      <c r="A37" s="274" t="s">
        <v>578</v>
      </c>
      <c r="B37" s="307"/>
      <c r="C37" s="214"/>
      <c r="D37" s="215"/>
      <c r="E37" s="215"/>
      <c r="F37" s="215"/>
      <c r="G37" s="215"/>
      <c r="H37" s="215"/>
      <c r="I37" s="347">
        <f t="shared" si="1"/>
        <v>0</v>
      </c>
      <c r="J37" s="347">
        <f t="shared" si="2"/>
        <v>0</v>
      </c>
      <c r="K37" s="215"/>
      <c r="L37" s="216"/>
    </row>
    <row r="38" spans="1:12" ht="12.75" customHeight="1">
      <c r="A38" s="274" t="s">
        <v>136</v>
      </c>
      <c r="B38" s="307"/>
      <c r="C38" s="214"/>
      <c r="D38" s="215"/>
      <c r="E38" s="215"/>
      <c r="F38" s="215"/>
      <c r="G38" s="215"/>
      <c r="H38" s="215"/>
      <c r="I38" s="347">
        <f t="shared" si="1"/>
        <v>0</v>
      </c>
      <c r="J38" s="347">
        <f t="shared" si="2"/>
        <v>0</v>
      </c>
      <c r="K38" s="215"/>
      <c r="L38" s="216"/>
    </row>
    <row r="39" spans="1:12" ht="12.75" customHeight="1">
      <c r="A39" s="274" t="s">
        <v>281</v>
      </c>
      <c r="B39" s="307"/>
      <c r="C39" s="214"/>
      <c r="D39" s="215"/>
      <c r="E39" s="215"/>
      <c r="F39" s="215"/>
      <c r="G39" s="215"/>
      <c r="H39" s="215"/>
      <c r="I39" s="347">
        <f t="shared" si="1"/>
        <v>0</v>
      </c>
      <c r="J39" s="347">
        <f t="shared" si="2"/>
        <v>0</v>
      </c>
      <c r="K39" s="215"/>
      <c r="L39" s="216"/>
    </row>
    <row r="40" spans="1:12" ht="12.75" customHeight="1">
      <c r="A40" s="274" t="s">
        <v>282</v>
      </c>
      <c r="B40" s="307"/>
      <c r="C40" s="214"/>
      <c r="D40" s="215"/>
      <c r="E40" s="215"/>
      <c r="F40" s="215"/>
      <c r="G40" s="215"/>
      <c r="H40" s="215"/>
      <c r="I40" s="347">
        <f t="shared" si="1"/>
        <v>0</v>
      </c>
      <c r="J40" s="347">
        <f t="shared" si="2"/>
        <v>0</v>
      </c>
      <c r="K40" s="215"/>
      <c r="L40" s="216"/>
    </row>
    <row r="41" spans="1:12" ht="12.75" customHeight="1">
      <c r="A41" s="274" t="s">
        <v>579</v>
      </c>
      <c r="B41" s="307"/>
      <c r="C41" s="214"/>
      <c r="D41" s="215"/>
      <c r="E41" s="215"/>
      <c r="F41" s="215"/>
      <c r="G41" s="215"/>
      <c r="H41" s="215"/>
      <c r="I41" s="347">
        <f t="shared" si="1"/>
        <v>0</v>
      </c>
      <c r="J41" s="347">
        <f t="shared" si="2"/>
        <v>0</v>
      </c>
      <c r="K41" s="215"/>
      <c r="L41" s="216"/>
    </row>
    <row r="42" spans="1:12" ht="12.75" customHeight="1">
      <c r="A42" s="274" t="s">
        <v>580</v>
      </c>
      <c r="B42" s="307"/>
      <c r="C42" s="214"/>
      <c r="D42" s="215"/>
      <c r="E42" s="215"/>
      <c r="F42" s="215"/>
      <c r="G42" s="215"/>
      <c r="H42" s="215"/>
      <c r="I42" s="347">
        <f t="shared" si="1"/>
        <v>0</v>
      </c>
      <c r="J42" s="347">
        <f t="shared" si="2"/>
        <v>0</v>
      </c>
      <c r="K42" s="215"/>
      <c r="L42" s="216"/>
    </row>
    <row r="43" spans="1:12" ht="12.75" customHeight="1">
      <c r="A43" s="26" t="s">
        <v>246</v>
      </c>
      <c r="B43" s="307"/>
      <c r="C43" s="214"/>
      <c r="D43" s="215"/>
      <c r="E43" s="215"/>
      <c r="F43" s="215"/>
      <c r="G43" s="215"/>
      <c r="H43" s="215"/>
      <c r="I43" s="347">
        <f t="shared" si="1"/>
        <v>0</v>
      </c>
      <c r="J43" s="347">
        <f t="shared" si="2"/>
        <v>0</v>
      </c>
      <c r="K43" s="215"/>
      <c r="L43" s="216"/>
    </row>
    <row r="44" spans="1:12" ht="5.0999999999999996" customHeight="1">
      <c r="A44" s="27"/>
      <c r="B44" s="307"/>
      <c r="C44" s="30"/>
      <c r="D44" s="29"/>
      <c r="E44" s="29"/>
      <c r="F44" s="29"/>
      <c r="G44" s="29"/>
      <c r="H44" s="29"/>
      <c r="I44" s="243">
        <f t="shared" si="1"/>
        <v>0</v>
      </c>
      <c r="J44" s="243">
        <f t="shared" si="2"/>
        <v>0</v>
      </c>
      <c r="K44" s="29"/>
      <c r="L44" s="87"/>
    </row>
    <row r="45" spans="1:12" ht="17.25" customHeight="1">
      <c r="A45" s="293" t="s">
        <v>200</v>
      </c>
      <c r="B45" s="308"/>
      <c r="C45" s="30">
        <f>SUM(C46:C47)</f>
        <v>0</v>
      </c>
      <c r="D45" s="29">
        <f t="shared" ref="D45:K45" si="9">SUM(D46:D47)</f>
        <v>0</v>
      </c>
      <c r="E45" s="29">
        <f t="shared" si="9"/>
        <v>0</v>
      </c>
      <c r="F45" s="29">
        <f t="shared" si="9"/>
        <v>0</v>
      </c>
      <c r="G45" s="29">
        <f t="shared" si="9"/>
        <v>0</v>
      </c>
      <c r="H45" s="29">
        <f t="shared" si="9"/>
        <v>0</v>
      </c>
      <c r="I45" s="243">
        <f t="shared" si="1"/>
        <v>0</v>
      </c>
      <c r="J45" s="243">
        <f t="shared" si="2"/>
        <v>0</v>
      </c>
      <c r="K45" s="29">
        <f t="shared" si="9"/>
        <v>0</v>
      </c>
      <c r="L45" s="87">
        <f>SUM(L46:L47)</f>
        <v>0</v>
      </c>
    </row>
    <row r="46" spans="1:12" ht="11.25" customHeight="1">
      <c r="A46" s="274" t="s">
        <v>581</v>
      </c>
      <c r="B46" s="308"/>
      <c r="C46" s="310"/>
      <c r="D46" s="296"/>
      <c r="E46" s="296"/>
      <c r="F46" s="296"/>
      <c r="G46" s="296"/>
      <c r="H46" s="296"/>
      <c r="I46" s="355">
        <f t="shared" si="1"/>
        <v>0</v>
      </c>
      <c r="J46" s="355">
        <f t="shared" si="2"/>
        <v>0</v>
      </c>
      <c r="K46" s="296"/>
      <c r="L46" s="328"/>
    </row>
    <row r="47" spans="1:12" ht="11.25" customHeight="1">
      <c r="A47" s="295" t="s">
        <v>246</v>
      </c>
      <c r="B47" s="308"/>
      <c r="C47" s="311"/>
      <c r="D47" s="297"/>
      <c r="E47" s="297"/>
      <c r="F47" s="297"/>
      <c r="G47" s="297"/>
      <c r="H47" s="297"/>
      <c r="I47" s="356">
        <f t="shared" si="1"/>
        <v>0</v>
      </c>
      <c r="J47" s="356">
        <f t="shared" si="2"/>
        <v>0</v>
      </c>
      <c r="K47" s="297"/>
      <c r="L47" s="329"/>
    </row>
    <row r="48" spans="1:12" ht="5.0999999999999996" customHeight="1">
      <c r="A48" s="298"/>
      <c r="B48" s="308"/>
      <c r="C48" s="30"/>
      <c r="D48" s="29"/>
      <c r="E48" s="29"/>
      <c r="F48" s="29"/>
      <c r="G48" s="29"/>
      <c r="H48" s="29"/>
      <c r="I48" s="243">
        <f t="shared" si="1"/>
        <v>0</v>
      </c>
      <c r="J48" s="243">
        <f t="shared" si="2"/>
        <v>0</v>
      </c>
      <c r="K48" s="29"/>
      <c r="L48" s="87"/>
    </row>
    <row r="49" spans="1:12" ht="17.25" customHeight="1">
      <c r="A49" s="293" t="s">
        <v>201</v>
      </c>
      <c r="B49" s="308"/>
      <c r="C49" s="34">
        <f>SUM(C50:C51)</f>
        <v>0</v>
      </c>
      <c r="D49" s="33">
        <f t="shared" ref="D49:K49" si="10">SUM(D50:D51)</f>
        <v>0</v>
      </c>
      <c r="E49" s="33">
        <f t="shared" si="10"/>
        <v>0</v>
      </c>
      <c r="F49" s="33">
        <f t="shared" si="10"/>
        <v>0</v>
      </c>
      <c r="G49" s="33">
        <f t="shared" si="10"/>
        <v>0</v>
      </c>
      <c r="H49" s="33">
        <f t="shared" si="10"/>
        <v>0</v>
      </c>
      <c r="I49" s="319">
        <f t="shared" si="1"/>
        <v>0</v>
      </c>
      <c r="J49" s="319">
        <f t="shared" si="2"/>
        <v>0</v>
      </c>
      <c r="K49" s="33">
        <f t="shared" si="10"/>
        <v>0</v>
      </c>
      <c r="L49" s="106">
        <f>SUM(L50:L51)</f>
        <v>0</v>
      </c>
    </row>
    <row r="50" spans="1:12" ht="11.25" customHeight="1">
      <c r="A50" s="274" t="s">
        <v>582</v>
      </c>
      <c r="B50" s="308"/>
      <c r="C50" s="280"/>
      <c r="D50" s="281"/>
      <c r="E50" s="281"/>
      <c r="F50" s="281"/>
      <c r="G50" s="281"/>
      <c r="H50" s="281"/>
      <c r="I50" s="339">
        <f t="shared" si="1"/>
        <v>0</v>
      </c>
      <c r="J50" s="339">
        <f t="shared" si="2"/>
        <v>0</v>
      </c>
      <c r="K50" s="281"/>
      <c r="L50" s="330"/>
    </row>
    <row r="51" spans="1:12" ht="11.25" customHeight="1">
      <c r="A51" s="274" t="s">
        <v>246</v>
      </c>
      <c r="B51" s="308"/>
      <c r="C51" s="217"/>
      <c r="D51" s="218"/>
      <c r="E51" s="218"/>
      <c r="F51" s="218"/>
      <c r="G51" s="218"/>
      <c r="H51" s="218"/>
      <c r="I51" s="357">
        <f t="shared" si="1"/>
        <v>0</v>
      </c>
      <c r="J51" s="357">
        <f t="shared" si="2"/>
        <v>0</v>
      </c>
      <c r="K51" s="218"/>
      <c r="L51" s="219"/>
    </row>
    <row r="52" spans="1:12" ht="5.0999999999999996" customHeight="1">
      <c r="A52" s="298"/>
      <c r="B52" s="308"/>
      <c r="C52" s="30"/>
      <c r="D52" s="29"/>
      <c r="E52" s="29"/>
      <c r="F52" s="29"/>
      <c r="G52" s="29"/>
      <c r="H52" s="29"/>
      <c r="I52" s="243">
        <f t="shared" si="1"/>
        <v>0</v>
      </c>
      <c r="J52" s="243">
        <f t="shared" si="2"/>
        <v>0</v>
      </c>
      <c r="K52" s="29"/>
      <c r="L52" s="87"/>
    </row>
    <row r="53" spans="1:12" ht="12.75" customHeight="1">
      <c r="A53" s="23" t="s">
        <v>202</v>
      </c>
      <c r="B53" s="307"/>
      <c r="C53" s="34">
        <f t="shared" ref="C53:K53" si="11">SUM(C54:C65)</f>
        <v>0</v>
      </c>
      <c r="D53" s="33">
        <f t="shared" si="11"/>
        <v>0</v>
      </c>
      <c r="E53" s="33">
        <f t="shared" si="11"/>
        <v>0</v>
      </c>
      <c r="F53" s="33">
        <f t="shared" si="11"/>
        <v>0</v>
      </c>
      <c r="G53" s="33">
        <f t="shared" si="11"/>
        <v>0</v>
      </c>
      <c r="H53" s="33">
        <f t="shared" si="11"/>
        <v>0</v>
      </c>
      <c r="I53" s="319">
        <f t="shared" si="1"/>
        <v>0</v>
      </c>
      <c r="J53" s="319">
        <f t="shared" si="2"/>
        <v>0</v>
      </c>
      <c r="K53" s="33">
        <f t="shared" si="11"/>
        <v>0</v>
      </c>
      <c r="L53" s="106">
        <f>SUM(L54:L65)</f>
        <v>0</v>
      </c>
    </row>
    <row r="54" spans="1:12" ht="12.75" customHeight="1">
      <c r="A54" s="295" t="s">
        <v>583</v>
      </c>
      <c r="B54" s="307"/>
      <c r="C54" s="214"/>
      <c r="D54" s="215"/>
      <c r="E54" s="215"/>
      <c r="F54" s="215"/>
      <c r="G54" s="215"/>
      <c r="H54" s="215"/>
      <c r="I54" s="347">
        <f t="shared" si="1"/>
        <v>0</v>
      </c>
      <c r="J54" s="347">
        <f t="shared" si="2"/>
        <v>0</v>
      </c>
      <c r="K54" s="215"/>
      <c r="L54" s="216"/>
    </row>
    <row r="55" spans="1:12" ht="12.75" customHeight="1">
      <c r="A55" s="295" t="s">
        <v>245</v>
      </c>
      <c r="B55" s="307"/>
      <c r="C55" s="214"/>
      <c r="D55" s="215"/>
      <c r="E55" s="215"/>
      <c r="F55" s="215"/>
      <c r="G55" s="215"/>
      <c r="H55" s="215"/>
      <c r="I55" s="347">
        <f t="shared" si="1"/>
        <v>0</v>
      </c>
      <c r="J55" s="347">
        <f t="shared" si="2"/>
        <v>0</v>
      </c>
      <c r="K55" s="215"/>
      <c r="L55" s="216"/>
    </row>
    <row r="56" spans="1:12" ht="12.75" customHeight="1">
      <c r="A56" s="295" t="s">
        <v>7</v>
      </c>
      <c r="B56" s="307"/>
      <c r="C56" s="214"/>
      <c r="D56" s="215"/>
      <c r="E56" s="215"/>
      <c r="F56" s="215"/>
      <c r="G56" s="215"/>
      <c r="H56" s="215"/>
      <c r="I56" s="347">
        <f t="shared" si="1"/>
        <v>0</v>
      </c>
      <c r="J56" s="347">
        <f t="shared" si="2"/>
        <v>0</v>
      </c>
      <c r="K56" s="215"/>
      <c r="L56" s="216"/>
    </row>
    <row r="57" spans="1:12" ht="12.75" customHeight="1">
      <c r="A57" s="295" t="s">
        <v>584</v>
      </c>
      <c r="B57" s="307"/>
      <c r="C57" s="214"/>
      <c r="D57" s="215"/>
      <c r="E57" s="215"/>
      <c r="F57" s="215"/>
      <c r="G57" s="215"/>
      <c r="H57" s="215"/>
      <c r="I57" s="347">
        <f t="shared" si="1"/>
        <v>0</v>
      </c>
      <c r="J57" s="347">
        <f t="shared" si="2"/>
        <v>0</v>
      </c>
      <c r="K57" s="215"/>
      <c r="L57" s="216"/>
    </row>
    <row r="58" spans="1:12" ht="12.75" customHeight="1">
      <c r="A58" s="295" t="s">
        <v>585</v>
      </c>
      <c r="B58" s="307"/>
      <c r="C58" s="214"/>
      <c r="D58" s="215"/>
      <c r="E58" s="215"/>
      <c r="F58" s="215"/>
      <c r="G58" s="215"/>
      <c r="H58" s="215"/>
      <c r="I58" s="347">
        <f t="shared" si="1"/>
        <v>0</v>
      </c>
      <c r="J58" s="347">
        <f t="shared" si="2"/>
        <v>0</v>
      </c>
      <c r="K58" s="215"/>
      <c r="L58" s="216"/>
    </row>
    <row r="59" spans="1:12" ht="12.75" customHeight="1">
      <c r="A59" s="295" t="s">
        <v>8</v>
      </c>
      <c r="B59" s="307"/>
      <c r="C59" s="214"/>
      <c r="D59" s="215"/>
      <c r="E59" s="215"/>
      <c r="F59" s="215"/>
      <c r="G59" s="215"/>
      <c r="H59" s="215"/>
      <c r="I59" s="347">
        <f t="shared" si="1"/>
        <v>0</v>
      </c>
      <c r="J59" s="347">
        <f t="shared" si="2"/>
        <v>0</v>
      </c>
      <c r="K59" s="215"/>
      <c r="L59" s="216"/>
    </row>
    <row r="60" spans="1:12" ht="12.75" customHeight="1">
      <c r="A60" s="295" t="s">
        <v>9</v>
      </c>
      <c r="B60" s="307"/>
      <c r="C60" s="214"/>
      <c r="D60" s="215"/>
      <c r="E60" s="215"/>
      <c r="F60" s="215"/>
      <c r="G60" s="215"/>
      <c r="H60" s="215"/>
      <c r="I60" s="347">
        <f t="shared" si="1"/>
        <v>0</v>
      </c>
      <c r="J60" s="347">
        <f t="shared" si="2"/>
        <v>0</v>
      </c>
      <c r="K60" s="215"/>
      <c r="L60" s="216"/>
    </row>
    <row r="61" spans="1:12" ht="12.75" customHeight="1">
      <c r="A61" s="295" t="s">
        <v>132</v>
      </c>
      <c r="B61" s="307"/>
      <c r="C61" s="214"/>
      <c r="D61" s="215"/>
      <c r="E61" s="215"/>
      <c r="F61" s="215"/>
      <c r="G61" s="215"/>
      <c r="H61" s="215"/>
      <c r="I61" s="347">
        <f t="shared" si="1"/>
        <v>0</v>
      </c>
      <c r="J61" s="347">
        <f t="shared" si="2"/>
        <v>0</v>
      </c>
      <c r="K61" s="215"/>
      <c r="L61" s="216"/>
    </row>
    <row r="62" spans="1:12" ht="12.75" customHeight="1">
      <c r="A62" s="295" t="s">
        <v>586</v>
      </c>
      <c r="B62" s="307"/>
      <c r="C62" s="214"/>
      <c r="D62" s="215"/>
      <c r="E62" s="215"/>
      <c r="F62" s="215"/>
      <c r="G62" s="215"/>
      <c r="H62" s="215"/>
      <c r="I62" s="347">
        <f t="shared" si="1"/>
        <v>0</v>
      </c>
      <c r="J62" s="347">
        <f t="shared" si="2"/>
        <v>0</v>
      </c>
      <c r="K62" s="215"/>
      <c r="L62" s="216"/>
    </row>
    <row r="63" spans="1:12" ht="12.75" customHeight="1">
      <c r="A63" s="295" t="s">
        <v>587</v>
      </c>
      <c r="B63" s="307"/>
      <c r="C63" s="214"/>
      <c r="D63" s="215"/>
      <c r="E63" s="215"/>
      <c r="F63" s="215"/>
      <c r="G63" s="215"/>
      <c r="H63" s="215"/>
      <c r="I63" s="347">
        <f t="shared" si="1"/>
        <v>0</v>
      </c>
      <c r="J63" s="347">
        <f t="shared" si="2"/>
        <v>0</v>
      </c>
      <c r="K63" s="215"/>
      <c r="L63" s="216"/>
    </row>
    <row r="64" spans="1:12" ht="12.75" customHeight="1">
      <c r="A64" s="295" t="s">
        <v>588</v>
      </c>
      <c r="B64" s="307"/>
      <c r="C64" s="214"/>
      <c r="D64" s="215"/>
      <c r="E64" s="215"/>
      <c r="F64" s="215"/>
      <c r="G64" s="215"/>
      <c r="H64" s="215"/>
      <c r="I64" s="347">
        <f t="shared" si="1"/>
        <v>0</v>
      </c>
      <c r="J64" s="347">
        <f t="shared" si="2"/>
        <v>0</v>
      </c>
      <c r="K64" s="215"/>
      <c r="L64" s="216"/>
    </row>
    <row r="65" spans="1:24" ht="12.75" customHeight="1">
      <c r="A65" s="26" t="s">
        <v>246</v>
      </c>
      <c r="B65" s="307"/>
      <c r="C65" s="214"/>
      <c r="D65" s="215"/>
      <c r="E65" s="215"/>
      <c r="F65" s="215"/>
      <c r="G65" s="215"/>
      <c r="H65" s="215"/>
      <c r="I65" s="347">
        <f t="shared" si="1"/>
        <v>0</v>
      </c>
      <c r="J65" s="347">
        <f t="shared" si="2"/>
        <v>0</v>
      </c>
      <c r="K65" s="215"/>
      <c r="L65" s="216"/>
    </row>
    <row r="66" spans="1:24" ht="5.0999999999999996" customHeight="1">
      <c r="A66" s="299"/>
      <c r="B66" s="308"/>
      <c r="C66" s="30"/>
      <c r="D66" s="29"/>
      <c r="E66" s="29"/>
      <c r="F66" s="29"/>
      <c r="G66" s="29"/>
      <c r="H66" s="29"/>
      <c r="I66" s="243">
        <f t="shared" si="1"/>
        <v>0</v>
      </c>
      <c r="J66" s="243">
        <f t="shared" si="2"/>
        <v>0</v>
      </c>
      <c r="K66" s="29"/>
      <c r="L66" s="87"/>
    </row>
    <row r="67" spans="1:24" ht="17.25" customHeight="1">
      <c r="A67" s="293" t="s">
        <v>312</v>
      </c>
      <c r="B67" s="308"/>
      <c r="C67" s="30">
        <f>SUM(C68:C69)</f>
        <v>0</v>
      </c>
      <c r="D67" s="29">
        <f t="shared" ref="D67:K67" si="12">SUM(D68:D69)</f>
        <v>0</v>
      </c>
      <c r="E67" s="29">
        <f t="shared" si="12"/>
        <v>0</v>
      </c>
      <c r="F67" s="29">
        <f t="shared" si="12"/>
        <v>0</v>
      </c>
      <c r="G67" s="29">
        <f t="shared" si="12"/>
        <v>0</v>
      </c>
      <c r="H67" s="29">
        <f t="shared" si="12"/>
        <v>0</v>
      </c>
      <c r="I67" s="243">
        <f t="shared" si="1"/>
        <v>0</v>
      </c>
      <c r="J67" s="243">
        <f t="shared" si="2"/>
        <v>0</v>
      </c>
      <c r="K67" s="29">
        <f t="shared" si="12"/>
        <v>0</v>
      </c>
      <c r="L67" s="87">
        <f>SUM(L68:L69)</f>
        <v>0</v>
      </c>
    </row>
    <row r="68" spans="1:24" ht="11.25" customHeight="1">
      <c r="A68" s="300" t="s">
        <v>327</v>
      </c>
      <c r="B68" s="308"/>
      <c r="C68" s="280"/>
      <c r="D68" s="281"/>
      <c r="E68" s="281"/>
      <c r="F68" s="281"/>
      <c r="G68" s="281"/>
      <c r="H68" s="281"/>
      <c r="I68" s="339">
        <f t="shared" si="1"/>
        <v>0</v>
      </c>
      <c r="J68" s="339">
        <f t="shared" si="2"/>
        <v>0</v>
      </c>
      <c r="K68" s="281"/>
      <c r="L68" s="330"/>
    </row>
    <row r="69" spans="1:24" ht="11.25" customHeight="1">
      <c r="A69" s="300"/>
      <c r="B69" s="308"/>
      <c r="C69" s="217"/>
      <c r="D69" s="218"/>
      <c r="E69" s="218"/>
      <c r="F69" s="218"/>
      <c r="G69" s="218"/>
      <c r="H69" s="218"/>
      <c r="I69" s="357">
        <f t="shared" si="1"/>
        <v>0</v>
      </c>
      <c r="J69" s="357">
        <f t="shared" si="2"/>
        <v>0</v>
      </c>
      <c r="K69" s="218"/>
      <c r="L69" s="219"/>
    </row>
    <row r="70" spans="1:24" ht="5.0999999999999996" customHeight="1">
      <c r="A70" s="299"/>
      <c r="B70" s="308"/>
      <c r="C70" s="30"/>
      <c r="D70" s="29"/>
      <c r="E70" s="29"/>
      <c r="F70" s="29"/>
      <c r="G70" s="29"/>
      <c r="H70" s="29"/>
      <c r="I70" s="243">
        <f t="shared" si="1"/>
        <v>0</v>
      </c>
      <c r="J70" s="243">
        <f t="shared" si="2"/>
        <v>0</v>
      </c>
      <c r="K70" s="29"/>
      <c r="L70" s="87"/>
    </row>
    <row r="71" spans="1:24" ht="17.25" customHeight="1">
      <c r="A71" s="293" t="s">
        <v>28</v>
      </c>
      <c r="B71" s="308"/>
      <c r="C71" s="30">
        <f>SUM(C72:C73)</f>
        <v>0</v>
      </c>
      <c r="D71" s="29">
        <f t="shared" ref="D71:K71" si="13">SUM(D72:D73)</f>
        <v>0</v>
      </c>
      <c r="E71" s="29">
        <f t="shared" si="13"/>
        <v>0</v>
      </c>
      <c r="F71" s="29">
        <f t="shared" si="13"/>
        <v>0</v>
      </c>
      <c r="G71" s="29">
        <f t="shared" si="13"/>
        <v>0</v>
      </c>
      <c r="H71" s="29">
        <f t="shared" si="13"/>
        <v>0</v>
      </c>
      <c r="I71" s="243">
        <f t="shared" si="1"/>
        <v>0</v>
      </c>
      <c r="J71" s="243">
        <f t="shared" si="2"/>
        <v>0</v>
      </c>
      <c r="K71" s="29">
        <f t="shared" si="13"/>
        <v>0</v>
      </c>
      <c r="L71" s="87">
        <f>SUM(L72:L73)</f>
        <v>0</v>
      </c>
    </row>
    <row r="72" spans="1:24" ht="11.25" customHeight="1">
      <c r="A72" s="300" t="s">
        <v>327</v>
      </c>
      <c r="B72" s="308"/>
      <c r="C72" s="280"/>
      <c r="D72" s="281"/>
      <c r="E72" s="281"/>
      <c r="F72" s="281"/>
      <c r="G72" s="281"/>
      <c r="H72" s="281"/>
      <c r="I72" s="339">
        <f t="shared" ref="I72:I85" si="14">SUM(E72:H72)</f>
        <v>0</v>
      </c>
      <c r="J72" s="339">
        <f t="shared" ref="J72:J85" si="15">IF(D72=0,C72+I72,D72+I72)</f>
        <v>0</v>
      </c>
      <c r="K72" s="281"/>
      <c r="L72" s="330"/>
    </row>
    <row r="73" spans="1:24" ht="11.25" customHeight="1">
      <c r="A73" s="300"/>
      <c r="B73" s="308"/>
      <c r="C73" s="217"/>
      <c r="D73" s="218"/>
      <c r="E73" s="218"/>
      <c r="F73" s="218"/>
      <c r="G73" s="218"/>
      <c r="H73" s="218"/>
      <c r="I73" s="357">
        <f t="shared" si="14"/>
        <v>0</v>
      </c>
      <c r="J73" s="357">
        <f t="shared" si="15"/>
        <v>0</v>
      </c>
      <c r="K73" s="218"/>
      <c r="L73" s="219"/>
    </row>
    <row r="74" spans="1:24" ht="5.0999999999999996" customHeight="1">
      <c r="A74" s="27"/>
      <c r="B74" s="307"/>
      <c r="C74" s="30"/>
      <c r="D74" s="29"/>
      <c r="E74" s="29"/>
      <c r="F74" s="29"/>
      <c r="G74" s="29"/>
      <c r="H74" s="29"/>
      <c r="I74" s="243">
        <f t="shared" si="14"/>
        <v>0</v>
      </c>
      <c r="J74" s="243">
        <f t="shared" si="15"/>
        <v>0</v>
      </c>
      <c r="K74" s="29"/>
      <c r="L74" s="87"/>
    </row>
    <row r="75" spans="1:24" ht="17.25" customHeight="1">
      <c r="A75" s="293" t="s">
        <v>55</v>
      </c>
      <c r="B75" s="308"/>
      <c r="C75" s="30">
        <f>SUM(C76:C77)</f>
        <v>0</v>
      </c>
      <c r="D75" s="29">
        <f t="shared" ref="D75:K75" si="16">SUM(D76:D77)</f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  <c r="H75" s="29">
        <f t="shared" si="16"/>
        <v>0</v>
      </c>
      <c r="I75" s="243">
        <f t="shared" si="14"/>
        <v>0</v>
      </c>
      <c r="J75" s="243">
        <f t="shared" si="15"/>
        <v>0</v>
      </c>
      <c r="K75" s="29">
        <f t="shared" si="16"/>
        <v>0</v>
      </c>
      <c r="L75" s="87">
        <f>SUM(L76:L77)</f>
        <v>0</v>
      </c>
    </row>
    <row r="76" spans="1:24" ht="11.25" customHeight="1">
      <c r="A76" s="295" t="s">
        <v>171</v>
      </c>
      <c r="B76" s="308"/>
      <c r="C76" s="280"/>
      <c r="D76" s="281"/>
      <c r="E76" s="281"/>
      <c r="F76" s="281"/>
      <c r="G76" s="281"/>
      <c r="H76" s="281"/>
      <c r="I76" s="339">
        <f t="shared" si="14"/>
        <v>0</v>
      </c>
      <c r="J76" s="339">
        <f t="shared" si="15"/>
        <v>0</v>
      </c>
      <c r="K76" s="281"/>
      <c r="L76" s="330"/>
    </row>
    <row r="77" spans="1:24" ht="11.25" customHeight="1">
      <c r="A77" s="301" t="s">
        <v>589</v>
      </c>
      <c r="B77" s="308"/>
      <c r="C77" s="217"/>
      <c r="D77" s="218"/>
      <c r="E77" s="218"/>
      <c r="F77" s="218"/>
      <c r="G77" s="218"/>
      <c r="H77" s="218"/>
      <c r="I77" s="357">
        <f t="shared" si="14"/>
        <v>0</v>
      </c>
      <c r="J77" s="357">
        <f t="shared" si="15"/>
        <v>0</v>
      </c>
      <c r="K77" s="218"/>
      <c r="L77" s="219"/>
    </row>
    <row r="78" spans="1:24" ht="5.0999999999999996" customHeight="1">
      <c r="A78" s="298"/>
      <c r="B78" s="308"/>
      <c r="C78" s="34"/>
      <c r="D78" s="33"/>
      <c r="E78" s="33"/>
      <c r="F78" s="33"/>
      <c r="G78" s="33"/>
      <c r="H78" s="33"/>
      <c r="I78" s="319">
        <f t="shared" si="14"/>
        <v>0</v>
      </c>
      <c r="J78" s="319">
        <f t="shared" si="15"/>
        <v>0</v>
      </c>
      <c r="K78" s="33"/>
      <c r="L78" s="106"/>
    </row>
    <row r="79" spans="1:24" ht="12.75" customHeight="1">
      <c r="A79" s="382" t="s">
        <v>923</v>
      </c>
      <c r="B79" s="312">
        <v>1</v>
      </c>
      <c r="C79" s="37">
        <f>C8+C29+C45+C49+C53+C67+C71+C75</f>
        <v>0</v>
      </c>
      <c r="D79" s="36">
        <f t="shared" ref="D79:K79" si="17">D8+D29+D45+D49+D53+D67+D71+D75</f>
        <v>0</v>
      </c>
      <c r="E79" s="36">
        <f t="shared" si="17"/>
        <v>0</v>
      </c>
      <c r="F79" s="36">
        <f t="shared" si="17"/>
        <v>0</v>
      </c>
      <c r="G79" s="36">
        <f t="shared" si="17"/>
        <v>0</v>
      </c>
      <c r="H79" s="36">
        <f t="shared" si="17"/>
        <v>0</v>
      </c>
      <c r="I79" s="331">
        <f t="shared" si="14"/>
        <v>0</v>
      </c>
      <c r="J79" s="331">
        <f t="shared" si="15"/>
        <v>0</v>
      </c>
      <c r="K79" s="36">
        <f t="shared" si="17"/>
        <v>0</v>
      </c>
      <c r="L79" s="115">
        <f>L8+L29+L45+L49+L53+L67+L71+L75</f>
        <v>0</v>
      </c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</row>
    <row r="80" spans="1:24" ht="12.75" customHeight="1">
      <c r="A80" s="399"/>
      <c r="B80" s="400"/>
      <c r="C80" s="401"/>
      <c r="D80" s="401"/>
      <c r="E80" s="401"/>
      <c r="F80" s="401"/>
      <c r="G80" s="401"/>
      <c r="H80" s="401"/>
      <c r="I80" s="402"/>
      <c r="J80" s="402"/>
      <c r="K80" s="401"/>
      <c r="L80" s="401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</row>
    <row r="81" spans="1:23" ht="12.75" customHeight="1">
      <c r="A81" s="303" t="s">
        <v>245</v>
      </c>
      <c r="B81" s="302"/>
      <c r="C81" s="304">
        <f t="shared" ref="C81:K81" si="18">SUM(C82:C85)</f>
        <v>0</v>
      </c>
      <c r="D81" s="305">
        <f t="shared" si="18"/>
        <v>0</v>
      </c>
      <c r="E81" s="305">
        <f t="shared" si="18"/>
        <v>0</v>
      </c>
      <c r="F81" s="305">
        <f t="shared" si="18"/>
        <v>0</v>
      </c>
      <c r="G81" s="305">
        <f t="shared" si="18"/>
        <v>0</v>
      </c>
      <c r="H81" s="305">
        <f t="shared" si="18"/>
        <v>0</v>
      </c>
      <c r="I81" s="332">
        <f t="shared" si="14"/>
        <v>0</v>
      </c>
      <c r="J81" s="332">
        <f t="shared" si="15"/>
        <v>0</v>
      </c>
      <c r="K81" s="305">
        <f t="shared" si="18"/>
        <v>0</v>
      </c>
      <c r="L81" s="306">
        <f>SUM(L82:L85)</f>
        <v>0</v>
      </c>
    </row>
    <row r="82" spans="1:23" ht="12.75" customHeight="1">
      <c r="A82" s="26" t="s">
        <v>96</v>
      </c>
      <c r="B82" s="307"/>
      <c r="C82" s="214"/>
      <c r="D82" s="215"/>
      <c r="E82" s="215"/>
      <c r="F82" s="215"/>
      <c r="G82" s="215"/>
      <c r="H82" s="215"/>
      <c r="I82" s="347">
        <f t="shared" si="14"/>
        <v>0</v>
      </c>
      <c r="J82" s="347">
        <f t="shared" si="15"/>
        <v>0</v>
      </c>
      <c r="K82" s="215"/>
      <c r="L82" s="216"/>
    </row>
    <row r="83" spans="1:23" ht="12.75" customHeight="1">
      <c r="A83" s="26" t="s">
        <v>133</v>
      </c>
      <c r="B83" s="307"/>
      <c r="C83" s="214"/>
      <c r="D83" s="215"/>
      <c r="E83" s="215"/>
      <c r="F83" s="215"/>
      <c r="G83" s="215"/>
      <c r="H83" s="215"/>
      <c r="I83" s="347">
        <f t="shared" si="14"/>
        <v>0</v>
      </c>
      <c r="J83" s="347">
        <f t="shared" si="15"/>
        <v>0</v>
      </c>
      <c r="K83" s="215"/>
      <c r="L83" s="216"/>
    </row>
    <row r="84" spans="1:23" ht="12.75" customHeight="1">
      <c r="A84" s="26" t="s">
        <v>134</v>
      </c>
      <c r="B84" s="307"/>
      <c r="C84" s="214"/>
      <c r="D84" s="215"/>
      <c r="E84" s="215"/>
      <c r="F84" s="215"/>
      <c r="G84" s="215"/>
      <c r="H84" s="215"/>
      <c r="I84" s="347">
        <f t="shared" si="14"/>
        <v>0</v>
      </c>
      <c r="J84" s="347">
        <f t="shared" si="15"/>
        <v>0</v>
      </c>
      <c r="K84" s="215"/>
      <c r="L84" s="216"/>
    </row>
    <row r="85" spans="1:23" ht="12.75" customHeight="1">
      <c r="A85" s="82" t="s">
        <v>135</v>
      </c>
      <c r="B85" s="325"/>
      <c r="C85" s="234"/>
      <c r="D85" s="235"/>
      <c r="E85" s="235"/>
      <c r="F85" s="235"/>
      <c r="G85" s="235"/>
      <c r="H85" s="235"/>
      <c r="I85" s="358">
        <f t="shared" si="14"/>
        <v>0</v>
      </c>
      <c r="J85" s="358">
        <f t="shared" si="15"/>
        <v>0</v>
      </c>
      <c r="K85" s="235"/>
      <c r="L85" s="238"/>
    </row>
    <row r="86" spans="1:23" ht="12.75" customHeight="1">
      <c r="A86" s="42"/>
      <c r="B86" s="39"/>
      <c r="C86" s="32"/>
      <c r="D86" s="32"/>
      <c r="E86" s="32"/>
      <c r="F86" s="32"/>
      <c r="G86" s="32"/>
      <c r="H86" s="32"/>
      <c r="I86" s="32"/>
      <c r="J86" s="32"/>
      <c r="K86" s="3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  <row r="87" spans="1:23" ht="12.75" customHeight="1">
      <c r="A87" s="38" t="str">
        <f>head27a</f>
        <v>References</v>
      </c>
      <c r="B87" s="39"/>
      <c r="C87" s="43"/>
      <c r="D87" s="43"/>
      <c r="E87" s="43"/>
      <c r="F87" s="43"/>
      <c r="G87" s="43"/>
      <c r="H87" s="43"/>
      <c r="I87" s="43"/>
      <c r="J87" s="43"/>
      <c r="K87" s="43"/>
    </row>
    <row r="88" spans="1:23" ht="12.75" customHeight="1">
      <c r="A88" s="54" t="s">
        <v>590</v>
      </c>
      <c r="B88" s="39"/>
      <c r="C88" s="42"/>
      <c r="D88" s="42"/>
      <c r="E88" s="43"/>
      <c r="F88" s="43"/>
      <c r="G88" s="43"/>
      <c r="H88" s="43"/>
      <c r="I88" s="43"/>
      <c r="J88" s="43"/>
      <c r="K88" s="43"/>
    </row>
    <row r="89" spans="1:23" ht="11.25" customHeight="1">
      <c r="A89" s="47"/>
      <c r="B89" s="39"/>
      <c r="C89" s="42"/>
      <c r="D89" s="42"/>
      <c r="E89" s="43"/>
      <c r="F89" s="43"/>
      <c r="G89" s="43"/>
      <c r="H89" s="43"/>
      <c r="I89" s="43"/>
      <c r="J89" s="43"/>
      <c r="K89" s="43"/>
    </row>
    <row r="90" spans="1:23" ht="11.25" customHeight="1">
      <c r="A90" s="56" t="s">
        <v>248</v>
      </c>
      <c r="B90" s="44"/>
      <c r="C90" s="73">
        <f>C79-('E3-Capex'!C32-SE6b!C79)</f>
        <v>0</v>
      </c>
      <c r="D90" s="73">
        <f>D79-('E3-Capex'!D32-SE6b!D79)</f>
        <v>-25000</v>
      </c>
      <c r="E90" s="73">
        <f>E79-('E3-Capex'!E32-SE6b!E79)</f>
        <v>0</v>
      </c>
      <c r="F90" s="73">
        <f>F79-('E3-Capex'!F32-SE6b!F79)</f>
        <v>0</v>
      </c>
      <c r="G90" s="73">
        <f>G79-('E3-Capex'!G32-SE6b!G79)</f>
        <v>0</v>
      </c>
      <c r="H90" s="73">
        <f>H79-('E3-Capex'!H32-SE6b!H79)</f>
        <v>0</v>
      </c>
      <c r="I90" s="73">
        <f>I79-('E3-Capex'!I32-SE6b!I79)</f>
        <v>0</v>
      </c>
      <c r="J90" s="73">
        <f>J79-('E3-Capex'!J32-SE6b!J79)</f>
        <v>-25000</v>
      </c>
      <c r="K90" s="73">
        <f>K79-('E3-Capex'!K32-SE6b!K79)</f>
        <v>-28000</v>
      </c>
    </row>
    <row r="91" spans="1:23" ht="11.25" customHeight="1"/>
    <row r="92" spans="1:23" ht="11.25" customHeight="1"/>
    <row r="93" spans="1:23" ht="11.25" customHeight="1"/>
    <row r="94" spans="1:23" ht="11.25" customHeight="1"/>
    <row r="95" spans="1:23" ht="11.25" customHeight="1"/>
    <row r="96" spans="1:23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</sheetData>
  <mergeCells count="3">
    <mergeCell ref="A2:A3"/>
    <mergeCell ref="B2:B3"/>
    <mergeCell ref="C2:J2"/>
  </mergeCells>
  <phoneticPr fontId="2" type="noConversion"/>
  <dataValidations count="1">
    <dataValidation type="whole" allowBlank="1" showInputMessage="1" showErrorMessage="1" sqref="C10:H11 K10:L11 C13:H15 K13:L15 C17:H19 K17:L19 C21:H22 K21:L22 C24:H27 K24:L28 C30:H43 K30:L43 C46:H47 K46:L47 C50:H51 K50:L52 C54:H65 K54:L65 C68:H69 K68:L69 C72:H73 K72:L74 C76:H77 K76:L77 C82:H85 K82:L85">
      <formula1>-99999999999</formula1>
      <formula2>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5" enableFormatConditionsCalculation="0">
    <tabColor rgb="FFC4FCDF"/>
  </sheetPr>
  <dimension ref="A1:X125"/>
  <sheetViews>
    <sheetView showGridLines="0" zoomScale="86" zoomScaleNormal="86" workbookViewId="0"/>
  </sheetViews>
  <sheetFormatPr defaultRowHeight="12.75"/>
  <cols>
    <col min="1" max="1" width="35.7109375" style="20" customWidth="1"/>
    <col min="2" max="2" width="3.140625" style="48" customWidth="1"/>
    <col min="3" max="11" width="8.7109375" style="20" customWidth="1"/>
    <col min="12" max="12" width="9.85546875" style="20" customWidth="1"/>
    <col min="13" max="13" width="9.57031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>
      <c r="A1" s="19" t="str">
        <f>MEAB10b&amp;" - "&amp;Date</f>
        <v xml:space="preserve"> - Supporting Table SE6b Adjustments capital expenditure on renewal of existing assets by asset category - </v>
      </c>
    </row>
    <row r="2" spans="1:13" ht="38.25">
      <c r="A2" s="428" t="str">
        <f>desc</f>
        <v>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3" ht="12.75" customHeight="1">
      <c r="A3" s="429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3">
      <c r="A4" s="317"/>
      <c r="B4" s="318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3">
      <c r="A5" s="321" t="s">
        <v>199</v>
      </c>
      <c r="B5" s="74">
        <v>1</v>
      </c>
      <c r="C5" s="322" t="s">
        <v>111</v>
      </c>
      <c r="D5" s="323" t="s">
        <v>325</v>
      </c>
      <c r="E5" s="323" t="s">
        <v>81</v>
      </c>
      <c r="F5" s="323" t="s">
        <v>37</v>
      </c>
      <c r="G5" s="324" t="s">
        <v>139</v>
      </c>
      <c r="H5" s="324" t="s">
        <v>12</v>
      </c>
      <c r="I5" s="324" t="s">
        <v>13</v>
      </c>
      <c r="J5" s="324" t="s">
        <v>14</v>
      </c>
      <c r="K5" s="134"/>
      <c r="L5" s="173"/>
    </row>
    <row r="6" spans="1:13" ht="12.75" customHeight="1">
      <c r="A6" s="381" t="s">
        <v>924</v>
      </c>
      <c r="B6" s="307"/>
      <c r="C6" s="326"/>
      <c r="D6" s="67"/>
      <c r="E6" s="67"/>
      <c r="F6" s="67"/>
      <c r="G6" s="67"/>
      <c r="H6" s="67"/>
      <c r="I6" s="67"/>
      <c r="J6" s="67"/>
      <c r="K6" s="67"/>
      <c r="L6" s="86"/>
    </row>
    <row r="7" spans="1:13" ht="5.0999999999999996" customHeight="1">
      <c r="A7" s="23"/>
      <c r="B7" s="307"/>
      <c r="C7" s="30"/>
      <c r="D7" s="29"/>
      <c r="E7" s="29"/>
      <c r="F7" s="29"/>
      <c r="G7" s="29"/>
      <c r="H7" s="29"/>
      <c r="I7" s="29"/>
      <c r="J7" s="29"/>
      <c r="K7" s="29"/>
      <c r="L7" s="87"/>
    </row>
    <row r="8" spans="1:13" ht="11.25" customHeight="1">
      <c r="A8" s="293" t="s">
        <v>173</v>
      </c>
      <c r="B8" s="308"/>
      <c r="C8" s="320">
        <f t="shared" ref="C8:K8" si="0">C9+C12+C16+C20+C23</f>
        <v>0</v>
      </c>
      <c r="D8" s="319">
        <f t="shared" si="0"/>
        <v>0</v>
      </c>
      <c r="E8" s="319">
        <f t="shared" si="0"/>
        <v>0</v>
      </c>
      <c r="F8" s="319">
        <f t="shared" si="0"/>
        <v>0</v>
      </c>
      <c r="G8" s="319">
        <f t="shared" si="0"/>
        <v>0</v>
      </c>
      <c r="H8" s="319">
        <f t="shared" si="0"/>
        <v>0</v>
      </c>
      <c r="I8" s="319">
        <f t="shared" ref="I8:I71" si="1">SUM(E8:H8)</f>
        <v>0</v>
      </c>
      <c r="J8" s="319">
        <f t="shared" ref="J8:J71" si="2">IF(D8=0,C8+I8,D8+I8)</f>
        <v>0</v>
      </c>
      <c r="K8" s="319">
        <f t="shared" si="0"/>
        <v>0</v>
      </c>
      <c r="L8" s="327">
        <f>L9+L12+L16+L20+L23</f>
        <v>0</v>
      </c>
    </row>
    <row r="9" spans="1:13" s="375" customFormat="1" ht="13.5">
      <c r="A9" s="274" t="s">
        <v>557</v>
      </c>
      <c r="B9" s="308"/>
      <c r="C9" s="338">
        <f>SUM(C10:C11)</f>
        <v>0</v>
      </c>
      <c r="D9" s="339">
        <f t="shared" ref="D9:K9" si="3">SUM(D10:D11)</f>
        <v>0</v>
      </c>
      <c r="E9" s="339">
        <f t="shared" si="3"/>
        <v>0</v>
      </c>
      <c r="F9" s="339">
        <f t="shared" si="3"/>
        <v>0</v>
      </c>
      <c r="G9" s="339">
        <f t="shared" si="3"/>
        <v>0</v>
      </c>
      <c r="H9" s="339">
        <f t="shared" si="3"/>
        <v>0</v>
      </c>
      <c r="I9" s="339">
        <f t="shared" si="1"/>
        <v>0</v>
      </c>
      <c r="J9" s="339">
        <f t="shared" si="2"/>
        <v>0</v>
      </c>
      <c r="K9" s="339">
        <f t="shared" si="3"/>
        <v>0</v>
      </c>
      <c r="L9" s="340">
        <f>SUM(L10:L11)</f>
        <v>0</v>
      </c>
      <c r="M9" s="20"/>
    </row>
    <row r="10" spans="1:13" s="375" customFormat="1" ht="13.5">
      <c r="A10" s="294" t="s">
        <v>558</v>
      </c>
      <c r="B10" s="308"/>
      <c r="C10" s="214"/>
      <c r="D10" s="215"/>
      <c r="E10" s="215"/>
      <c r="F10" s="215"/>
      <c r="G10" s="215"/>
      <c r="H10" s="215"/>
      <c r="I10" s="347">
        <f t="shared" si="1"/>
        <v>0</v>
      </c>
      <c r="J10" s="347">
        <f t="shared" si="2"/>
        <v>0</v>
      </c>
      <c r="K10" s="215"/>
      <c r="L10" s="216"/>
      <c r="M10" s="20"/>
    </row>
    <row r="11" spans="1:13" s="375" customFormat="1" ht="13.5">
      <c r="A11" s="294" t="s">
        <v>559</v>
      </c>
      <c r="B11" s="308"/>
      <c r="C11" s="214"/>
      <c r="D11" s="215"/>
      <c r="E11" s="215"/>
      <c r="F11" s="215"/>
      <c r="G11" s="215"/>
      <c r="H11" s="215"/>
      <c r="I11" s="347">
        <f t="shared" si="1"/>
        <v>0</v>
      </c>
      <c r="J11" s="347">
        <f t="shared" si="2"/>
        <v>0</v>
      </c>
      <c r="K11" s="215"/>
      <c r="L11" s="216"/>
      <c r="M11" s="20"/>
    </row>
    <row r="12" spans="1:13" s="375" customFormat="1" ht="13.5">
      <c r="A12" s="274" t="s">
        <v>560</v>
      </c>
      <c r="B12" s="308"/>
      <c r="C12" s="350">
        <f>SUM(C13:C15)</f>
        <v>0</v>
      </c>
      <c r="D12" s="347">
        <f t="shared" ref="D12:K12" si="4">SUM(D13:D15)</f>
        <v>0</v>
      </c>
      <c r="E12" s="347">
        <f t="shared" si="4"/>
        <v>0</v>
      </c>
      <c r="F12" s="347">
        <f t="shared" si="4"/>
        <v>0</v>
      </c>
      <c r="G12" s="347">
        <f t="shared" si="4"/>
        <v>0</v>
      </c>
      <c r="H12" s="347">
        <f t="shared" si="4"/>
        <v>0</v>
      </c>
      <c r="I12" s="347">
        <f t="shared" si="1"/>
        <v>0</v>
      </c>
      <c r="J12" s="347">
        <f t="shared" si="2"/>
        <v>0</v>
      </c>
      <c r="K12" s="347">
        <f t="shared" si="4"/>
        <v>0</v>
      </c>
      <c r="L12" s="348">
        <f>SUM(L13:L15)</f>
        <v>0</v>
      </c>
      <c r="M12" s="20"/>
    </row>
    <row r="13" spans="1:13" s="375" customFormat="1" ht="13.5">
      <c r="A13" s="294" t="s">
        <v>561</v>
      </c>
      <c r="B13" s="308"/>
      <c r="C13" s="214"/>
      <c r="D13" s="215"/>
      <c r="E13" s="215"/>
      <c r="F13" s="215"/>
      <c r="G13" s="215"/>
      <c r="H13" s="215"/>
      <c r="I13" s="347">
        <f t="shared" si="1"/>
        <v>0</v>
      </c>
      <c r="J13" s="347">
        <f t="shared" si="2"/>
        <v>0</v>
      </c>
      <c r="K13" s="215"/>
      <c r="L13" s="216"/>
      <c r="M13" s="20"/>
    </row>
    <row r="14" spans="1:13" s="375" customFormat="1" ht="13.5">
      <c r="A14" s="294" t="s">
        <v>562</v>
      </c>
      <c r="B14" s="308"/>
      <c r="C14" s="214"/>
      <c r="D14" s="215"/>
      <c r="E14" s="215"/>
      <c r="F14" s="215"/>
      <c r="G14" s="215"/>
      <c r="H14" s="215"/>
      <c r="I14" s="347">
        <f t="shared" si="1"/>
        <v>0</v>
      </c>
      <c r="J14" s="347">
        <f t="shared" si="2"/>
        <v>0</v>
      </c>
      <c r="K14" s="215"/>
      <c r="L14" s="216"/>
      <c r="M14" s="20"/>
    </row>
    <row r="15" spans="1:13" s="375" customFormat="1" ht="13.5">
      <c r="A15" s="294" t="s">
        <v>52</v>
      </c>
      <c r="B15" s="308"/>
      <c r="C15" s="214"/>
      <c r="D15" s="215"/>
      <c r="E15" s="215"/>
      <c r="F15" s="215"/>
      <c r="G15" s="215"/>
      <c r="H15" s="215"/>
      <c r="I15" s="347">
        <f t="shared" si="1"/>
        <v>0</v>
      </c>
      <c r="J15" s="347">
        <f t="shared" si="2"/>
        <v>0</v>
      </c>
      <c r="K15" s="215"/>
      <c r="L15" s="216"/>
      <c r="M15" s="20"/>
    </row>
    <row r="16" spans="1:13" s="375" customFormat="1" ht="13.5">
      <c r="A16" s="295" t="s">
        <v>563</v>
      </c>
      <c r="B16" s="309"/>
      <c r="C16" s="350">
        <f>SUM(C17:C19)</f>
        <v>0</v>
      </c>
      <c r="D16" s="347">
        <f t="shared" ref="D16:K16" si="5">SUM(D17:D19)</f>
        <v>0</v>
      </c>
      <c r="E16" s="347">
        <f t="shared" si="5"/>
        <v>0</v>
      </c>
      <c r="F16" s="347">
        <f t="shared" si="5"/>
        <v>0</v>
      </c>
      <c r="G16" s="347">
        <f t="shared" si="5"/>
        <v>0</v>
      </c>
      <c r="H16" s="347">
        <f t="shared" si="5"/>
        <v>0</v>
      </c>
      <c r="I16" s="347">
        <f t="shared" si="1"/>
        <v>0</v>
      </c>
      <c r="J16" s="347">
        <f t="shared" si="2"/>
        <v>0</v>
      </c>
      <c r="K16" s="347">
        <f t="shared" si="5"/>
        <v>0</v>
      </c>
      <c r="L16" s="348">
        <f>SUM(L17:L19)</f>
        <v>0</v>
      </c>
      <c r="M16" s="20"/>
    </row>
    <row r="17" spans="1:13" s="375" customFormat="1" ht="13.5">
      <c r="A17" s="294" t="s">
        <v>564</v>
      </c>
      <c r="B17" s="308"/>
      <c r="C17" s="214"/>
      <c r="D17" s="215"/>
      <c r="E17" s="215"/>
      <c r="F17" s="215"/>
      <c r="G17" s="215"/>
      <c r="H17" s="215"/>
      <c r="I17" s="347">
        <f t="shared" si="1"/>
        <v>0</v>
      </c>
      <c r="J17" s="347">
        <f t="shared" si="2"/>
        <v>0</v>
      </c>
      <c r="K17" s="215"/>
      <c r="L17" s="216"/>
      <c r="M17" s="20"/>
    </row>
    <row r="18" spans="1:13" s="375" customFormat="1" ht="13.5">
      <c r="A18" s="294" t="s">
        <v>565</v>
      </c>
      <c r="B18" s="308"/>
      <c r="C18" s="214"/>
      <c r="D18" s="215"/>
      <c r="E18" s="215"/>
      <c r="F18" s="215"/>
      <c r="G18" s="215"/>
      <c r="H18" s="215"/>
      <c r="I18" s="347">
        <f t="shared" si="1"/>
        <v>0</v>
      </c>
      <c r="J18" s="347">
        <f t="shared" si="2"/>
        <v>0</v>
      </c>
      <c r="K18" s="215"/>
      <c r="L18" s="216"/>
      <c r="M18" s="20"/>
    </row>
    <row r="19" spans="1:13" s="375" customFormat="1" ht="13.5">
      <c r="A19" s="294" t="s">
        <v>566</v>
      </c>
      <c r="B19" s="308"/>
      <c r="C19" s="214"/>
      <c r="D19" s="215"/>
      <c r="E19" s="215"/>
      <c r="F19" s="215"/>
      <c r="G19" s="215"/>
      <c r="H19" s="215"/>
      <c r="I19" s="347">
        <f t="shared" si="1"/>
        <v>0</v>
      </c>
      <c r="J19" s="347">
        <f t="shared" si="2"/>
        <v>0</v>
      </c>
      <c r="K19" s="215"/>
      <c r="L19" s="216"/>
      <c r="M19" s="20"/>
    </row>
    <row r="20" spans="1:13" s="375" customFormat="1" ht="13.5">
      <c r="A20" s="295" t="s">
        <v>567</v>
      </c>
      <c r="B20" s="308"/>
      <c r="C20" s="350">
        <f t="shared" ref="C20:K20" si="6">SUM(C21:C22)</f>
        <v>0</v>
      </c>
      <c r="D20" s="347">
        <f t="shared" si="6"/>
        <v>0</v>
      </c>
      <c r="E20" s="347">
        <f t="shared" si="6"/>
        <v>0</v>
      </c>
      <c r="F20" s="347">
        <f t="shared" si="6"/>
        <v>0</v>
      </c>
      <c r="G20" s="347">
        <f t="shared" si="6"/>
        <v>0</v>
      </c>
      <c r="H20" s="347">
        <f t="shared" si="6"/>
        <v>0</v>
      </c>
      <c r="I20" s="347">
        <f t="shared" si="1"/>
        <v>0</v>
      </c>
      <c r="J20" s="347">
        <f t="shared" si="2"/>
        <v>0</v>
      </c>
      <c r="K20" s="347">
        <f t="shared" si="6"/>
        <v>0</v>
      </c>
      <c r="L20" s="348">
        <f>SUM(L21:L22)</f>
        <v>0</v>
      </c>
      <c r="M20" s="20"/>
    </row>
    <row r="21" spans="1:13" s="375" customFormat="1" ht="13.5">
      <c r="A21" s="294" t="s">
        <v>566</v>
      </c>
      <c r="B21" s="308"/>
      <c r="C21" s="214"/>
      <c r="D21" s="215"/>
      <c r="E21" s="215"/>
      <c r="F21" s="215"/>
      <c r="G21" s="215"/>
      <c r="H21" s="215"/>
      <c r="I21" s="347">
        <f t="shared" si="1"/>
        <v>0</v>
      </c>
      <c r="J21" s="347">
        <f t="shared" si="2"/>
        <v>0</v>
      </c>
      <c r="K21" s="215"/>
      <c r="L21" s="216"/>
      <c r="M21" s="20"/>
    </row>
    <row r="22" spans="1:13" s="375" customFormat="1" ht="13.5">
      <c r="A22" s="294" t="s">
        <v>568</v>
      </c>
      <c r="B22" s="308"/>
      <c r="C22" s="214"/>
      <c r="D22" s="215"/>
      <c r="E22" s="215"/>
      <c r="F22" s="215"/>
      <c r="G22" s="215"/>
      <c r="H22" s="215"/>
      <c r="I22" s="347">
        <f t="shared" si="1"/>
        <v>0</v>
      </c>
      <c r="J22" s="347">
        <f t="shared" si="2"/>
        <v>0</v>
      </c>
      <c r="K22" s="215"/>
      <c r="L22" s="216"/>
      <c r="M22" s="20"/>
    </row>
    <row r="23" spans="1:13" s="375" customFormat="1" ht="13.5">
      <c r="A23" s="274" t="s">
        <v>569</v>
      </c>
      <c r="B23" s="308"/>
      <c r="C23" s="350">
        <f>SUM(C24:C27)</f>
        <v>0</v>
      </c>
      <c r="D23" s="347">
        <f t="shared" ref="D23:K23" si="7">SUM(D24:D27)</f>
        <v>0</v>
      </c>
      <c r="E23" s="347">
        <f t="shared" si="7"/>
        <v>0</v>
      </c>
      <c r="F23" s="347">
        <f t="shared" si="7"/>
        <v>0</v>
      </c>
      <c r="G23" s="347">
        <f t="shared" si="7"/>
        <v>0</v>
      </c>
      <c r="H23" s="347">
        <f t="shared" si="7"/>
        <v>0</v>
      </c>
      <c r="I23" s="347">
        <f t="shared" si="1"/>
        <v>0</v>
      </c>
      <c r="J23" s="347">
        <f t="shared" si="2"/>
        <v>0</v>
      </c>
      <c r="K23" s="347">
        <f t="shared" si="7"/>
        <v>0</v>
      </c>
      <c r="L23" s="348">
        <f>SUM(L24:L27)</f>
        <v>0</v>
      </c>
      <c r="M23" s="20"/>
    </row>
    <row r="24" spans="1:13" s="375" customFormat="1" ht="13.5">
      <c r="A24" s="294" t="s">
        <v>570</v>
      </c>
      <c r="B24" s="308"/>
      <c r="C24" s="214"/>
      <c r="D24" s="215"/>
      <c r="E24" s="215"/>
      <c r="F24" s="215"/>
      <c r="G24" s="215"/>
      <c r="H24" s="215"/>
      <c r="I24" s="347">
        <f t="shared" si="1"/>
        <v>0</v>
      </c>
      <c r="J24" s="347">
        <f t="shared" si="2"/>
        <v>0</v>
      </c>
      <c r="K24" s="215"/>
      <c r="L24" s="216"/>
      <c r="M24" s="20"/>
    </row>
    <row r="25" spans="1:13" s="375" customFormat="1" ht="13.5">
      <c r="A25" s="294" t="s">
        <v>571</v>
      </c>
      <c r="B25" s="308">
        <v>2</v>
      </c>
      <c r="C25" s="214"/>
      <c r="D25" s="215"/>
      <c r="E25" s="215"/>
      <c r="F25" s="215"/>
      <c r="G25" s="215"/>
      <c r="H25" s="215"/>
      <c r="I25" s="347">
        <f t="shared" si="1"/>
        <v>0</v>
      </c>
      <c r="J25" s="347">
        <f t="shared" si="2"/>
        <v>0</v>
      </c>
      <c r="K25" s="215"/>
      <c r="L25" s="216"/>
      <c r="M25" s="20"/>
    </row>
    <row r="26" spans="1:13" s="375" customFormat="1" ht="13.5">
      <c r="A26" s="294" t="s">
        <v>53</v>
      </c>
      <c r="B26" s="308"/>
      <c r="C26" s="214"/>
      <c r="D26" s="215"/>
      <c r="E26" s="215"/>
      <c r="F26" s="215"/>
      <c r="G26" s="215"/>
      <c r="H26" s="215"/>
      <c r="I26" s="347">
        <f t="shared" si="1"/>
        <v>0</v>
      </c>
      <c r="J26" s="347">
        <f t="shared" si="2"/>
        <v>0</v>
      </c>
      <c r="K26" s="215"/>
      <c r="L26" s="216"/>
      <c r="M26" s="20"/>
    </row>
    <row r="27" spans="1:13" s="375" customFormat="1" ht="13.5">
      <c r="A27" s="294" t="s">
        <v>246</v>
      </c>
      <c r="B27" s="308">
        <v>3</v>
      </c>
      <c r="C27" s="214"/>
      <c r="D27" s="215"/>
      <c r="E27" s="215"/>
      <c r="F27" s="215"/>
      <c r="G27" s="215"/>
      <c r="H27" s="215"/>
      <c r="I27" s="347">
        <f t="shared" si="1"/>
        <v>0</v>
      </c>
      <c r="J27" s="347">
        <f t="shared" si="2"/>
        <v>0</v>
      </c>
      <c r="K27" s="215"/>
      <c r="L27" s="216"/>
      <c r="M27" s="20"/>
    </row>
    <row r="28" spans="1:13" ht="5.0999999999999996" customHeight="1">
      <c r="A28" s="27"/>
      <c r="B28" s="307"/>
      <c r="C28" s="30"/>
      <c r="D28" s="29"/>
      <c r="E28" s="29"/>
      <c r="F28" s="29"/>
      <c r="G28" s="29"/>
      <c r="H28" s="29"/>
      <c r="I28" s="243">
        <f t="shared" si="1"/>
        <v>0</v>
      </c>
      <c r="J28" s="243">
        <f t="shared" si="2"/>
        <v>0</v>
      </c>
      <c r="K28" s="29"/>
      <c r="L28" s="87"/>
    </row>
    <row r="29" spans="1:13" ht="12.75" customHeight="1">
      <c r="A29" s="23" t="s">
        <v>376</v>
      </c>
      <c r="B29" s="307"/>
      <c r="C29" s="351">
        <f t="shared" ref="C29:K29" si="8">SUM(C30:C43)</f>
        <v>0</v>
      </c>
      <c r="D29" s="352">
        <f t="shared" si="8"/>
        <v>0</v>
      </c>
      <c r="E29" s="352">
        <f t="shared" si="8"/>
        <v>0</v>
      </c>
      <c r="F29" s="352">
        <f t="shared" si="8"/>
        <v>0</v>
      </c>
      <c r="G29" s="352">
        <f t="shared" si="8"/>
        <v>0</v>
      </c>
      <c r="H29" s="352">
        <f t="shared" si="8"/>
        <v>0</v>
      </c>
      <c r="I29" s="353">
        <f t="shared" si="1"/>
        <v>0</v>
      </c>
      <c r="J29" s="353">
        <f t="shared" si="2"/>
        <v>0</v>
      </c>
      <c r="K29" s="352">
        <f t="shared" si="8"/>
        <v>0</v>
      </c>
      <c r="L29" s="354">
        <f>SUM(L30:L43)</f>
        <v>0</v>
      </c>
    </row>
    <row r="30" spans="1:13" ht="12.75" customHeight="1">
      <c r="A30" s="274" t="s">
        <v>572</v>
      </c>
      <c r="B30" s="307"/>
      <c r="C30" s="214"/>
      <c r="D30" s="215"/>
      <c r="E30" s="215"/>
      <c r="F30" s="215"/>
      <c r="G30" s="215"/>
      <c r="H30" s="215"/>
      <c r="I30" s="347">
        <f t="shared" si="1"/>
        <v>0</v>
      </c>
      <c r="J30" s="347">
        <f t="shared" si="2"/>
        <v>0</v>
      </c>
      <c r="K30" s="215"/>
      <c r="L30" s="216"/>
    </row>
    <row r="31" spans="1:13" ht="12.75" customHeight="1">
      <c r="A31" s="274" t="s">
        <v>573</v>
      </c>
      <c r="B31" s="307"/>
      <c r="C31" s="214"/>
      <c r="D31" s="215"/>
      <c r="E31" s="215"/>
      <c r="F31" s="215"/>
      <c r="G31" s="215"/>
      <c r="H31" s="215"/>
      <c r="I31" s="347">
        <f t="shared" si="1"/>
        <v>0</v>
      </c>
      <c r="J31" s="347">
        <f t="shared" si="2"/>
        <v>0</v>
      </c>
      <c r="K31" s="215"/>
      <c r="L31" s="216"/>
    </row>
    <row r="32" spans="1:13" ht="12.75" customHeight="1">
      <c r="A32" s="274" t="s">
        <v>574</v>
      </c>
      <c r="B32" s="307"/>
      <c r="C32" s="214"/>
      <c r="D32" s="215"/>
      <c r="E32" s="215"/>
      <c r="F32" s="215"/>
      <c r="G32" s="215"/>
      <c r="H32" s="215"/>
      <c r="I32" s="347">
        <f t="shared" si="1"/>
        <v>0</v>
      </c>
      <c r="J32" s="347">
        <f t="shared" si="2"/>
        <v>0</v>
      </c>
      <c r="K32" s="215"/>
      <c r="L32" s="216"/>
    </row>
    <row r="33" spans="1:12" ht="12.75" customHeight="1">
      <c r="A33" s="274" t="s">
        <v>575</v>
      </c>
      <c r="B33" s="307"/>
      <c r="C33" s="214"/>
      <c r="D33" s="215"/>
      <c r="E33" s="215"/>
      <c r="F33" s="215"/>
      <c r="G33" s="215"/>
      <c r="H33" s="215"/>
      <c r="I33" s="347">
        <f t="shared" si="1"/>
        <v>0</v>
      </c>
      <c r="J33" s="347">
        <f t="shared" si="2"/>
        <v>0</v>
      </c>
      <c r="K33" s="215"/>
      <c r="L33" s="216"/>
    </row>
    <row r="34" spans="1:12" ht="12.75" customHeight="1">
      <c r="A34" s="274" t="s">
        <v>93</v>
      </c>
      <c r="B34" s="307"/>
      <c r="C34" s="214"/>
      <c r="D34" s="215"/>
      <c r="E34" s="215"/>
      <c r="F34" s="215"/>
      <c r="G34" s="215"/>
      <c r="H34" s="215"/>
      <c r="I34" s="347">
        <f t="shared" si="1"/>
        <v>0</v>
      </c>
      <c r="J34" s="347">
        <f t="shared" si="2"/>
        <v>0</v>
      </c>
      <c r="K34" s="215"/>
      <c r="L34" s="216"/>
    </row>
    <row r="35" spans="1:12" ht="12.75" customHeight="1">
      <c r="A35" s="274" t="s">
        <v>576</v>
      </c>
      <c r="B35" s="307"/>
      <c r="C35" s="214"/>
      <c r="D35" s="215"/>
      <c r="E35" s="215"/>
      <c r="F35" s="215"/>
      <c r="G35" s="215"/>
      <c r="H35" s="215"/>
      <c r="I35" s="347">
        <f t="shared" si="1"/>
        <v>0</v>
      </c>
      <c r="J35" s="347">
        <f t="shared" si="2"/>
        <v>0</v>
      </c>
      <c r="K35" s="215"/>
      <c r="L35" s="216"/>
    </row>
    <row r="36" spans="1:12" ht="12.75" customHeight="1">
      <c r="A36" s="274" t="s">
        <v>577</v>
      </c>
      <c r="B36" s="307"/>
      <c r="C36" s="214"/>
      <c r="D36" s="215"/>
      <c r="E36" s="215"/>
      <c r="F36" s="215"/>
      <c r="G36" s="215"/>
      <c r="H36" s="215"/>
      <c r="I36" s="347">
        <f t="shared" si="1"/>
        <v>0</v>
      </c>
      <c r="J36" s="347">
        <f t="shared" si="2"/>
        <v>0</v>
      </c>
      <c r="K36" s="215"/>
      <c r="L36" s="216"/>
    </row>
    <row r="37" spans="1:12" ht="12.75" customHeight="1">
      <c r="A37" s="274" t="s">
        <v>578</v>
      </c>
      <c r="B37" s="307"/>
      <c r="C37" s="214"/>
      <c r="D37" s="215"/>
      <c r="E37" s="215"/>
      <c r="F37" s="215"/>
      <c r="G37" s="215"/>
      <c r="H37" s="215"/>
      <c r="I37" s="347">
        <f t="shared" si="1"/>
        <v>0</v>
      </c>
      <c r="J37" s="347">
        <f t="shared" si="2"/>
        <v>0</v>
      </c>
      <c r="K37" s="215"/>
      <c r="L37" s="216"/>
    </row>
    <row r="38" spans="1:12" ht="12.75" customHeight="1">
      <c r="A38" s="274" t="s">
        <v>136</v>
      </c>
      <c r="B38" s="307"/>
      <c r="C38" s="214"/>
      <c r="D38" s="215"/>
      <c r="E38" s="215"/>
      <c r="F38" s="215"/>
      <c r="G38" s="215"/>
      <c r="H38" s="215"/>
      <c r="I38" s="347">
        <f t="shared" si="1"/>
        <v>0</v>
      </c>
      <c r="J38" s="347">
        <f t="shared" si="2"/>
        <v>0</v>
      </c>
      <c r="K38" s="215"/>
      <c r="L38" s="216"/>
    </row>
    <row r="39" spans="1:12" ht="12.75" customHeight="1">
      <c r="A39" s="274" t="s">
        <v>281</v>
      </c>
      <c r="B39" s="307"/>
      <c r="C39" s="214"/>
      <c r="D39" s="215"/>
      <c r="E39" s="215"/>
      <c r="F39" s="215"/>
      <c r="G39" s="215"/>
      <c r="H39" s="215"/>
      <c r="I39" s="347">
        <f t="shared" si="1"/>
        <v>0</v>
      </c>
      <c r="J39" s="347">
        <f t="shared" si="2"/>
        <v>0</v>
      </c>
      <c r="K39" s="215"/>
      <c r="L39" s="216"/>
    </row>
    <row r="40" spans="1:12" ht="12.75" customHeight="1">
      <c r="A40" s="274" t="s">
        <v>282</v>
      </c>
      <c r="B40" s="307"/>
      <c r="C40" s="214"/>
      <c r="D40" s="215"/>
      <c r="E40" s="215"/>
      <c r="F40" s="215"/>
      <c r="G40" s="215"/>
      <c r="H40" s="215"/>
      <c r="I40" s="347">
        <f t="shared" si="1"/>
        <v>0</v>
      </c>
      <c r="J40" s="347">
        <f t="shared" si="2"/>
        <v>0</v>
      </c>
      <c r="K40" s="215"/>
      <c r="L40" s="216"/>
    </row>
    <row r="41" spans="1:12" ht="12.75" customHeight="1">
      <c r="A41" s="274" t="s">
        <v>579</v>
      </c>
      <c r="B41" s="307"/>
      <c r="C41" s="214"/>
      <c r="D41" s="215"/>
      <c r="E41" s="215"/>
      <c r="F41" s="215"/>
      <c r="G41" s="215"/>
      <c r="H41" s="215"/>
      <c r="I41" s="347">
        <f t="shared" si="1"/>
        <v>0</v>
      </c>
      <c r="J41" s="347">
        <f t="shared" si="2"/>
        <v>0</v>
      </c>
      <c r="K41" s="215"/>
      <c r="L41" s="216"/>
    </row>
    <row r="42" spans="1:12" ht="12.75" customHeight="1">
      <c r="A42" s="274" t="s">
        <v>580</v>
      </c>
      <c r="B42" s="307"/>
      <c r="C42" s="214"/>
      <c r="D42" s="215"/>
      <c r="E42" s="215"/>
      <c r="F42" s="215"/>
      <c r="G42" s="215"/>
      <c r="H42" s="215"/>
      <c r="I42" s="347">
        <f t="shared" si="1"/>
        <v>0</v>
      </c>
      <c r="J42" s="347">
        <f t="shared" si="2"/>
        <v>0</v>
      </c>
      <c r="K42" s="215"/>
      <c r="L42" s="216"/>
    </row>
    <row r="43" spans="1:12" ht="12.75" customHeight="1">
      <c r="A43" s="26" t="s">
        <v>246</v>
      </c>
      <c r="B43" s="307"/>
      <c r="C43" s="214"/>
      <c r="D43" s="215"/>
      <c r="E43" s="215"/>
      <c r="F43" s="215"/>
      <c r="G43" s="215"/>
      <c r="H43" s="215"/>
      <c r="I43" s="347">
        <f t="shared" si="1"/>
        <v>0</v>
      </c>
      <c r="J43" s="347">
        <f t="shared" si="2"/>
        <v>0</v>
      </c>
      <c r="K43" s="215"/>
      <c r="L43" s="216"/>
    </row>
    <row r="44" spans="1:12" ht="5.0999999999999996" customHeight="1">
      <c r="A44" s="27"/>
      <c r="B44" s="307"/>
      <c r="C44" s="30"/>
      <c r="D44" s="29"/>
      <c r="E44" s="29"/>
      <c r="F44" s="29"/>
      <c r="G44" s="29"/>
      <c r="H44" s="29"/>
      <c r="I44" s="243">
        <f t="shared" si="1"/>
        <v>0</v>
      </c>
      <c r="J44" s="243">
        <f t="shared" si="2"/>
        <v>0</v>
      </c>
      <c r="K44" s="29"/>
      <c r="L44" s="87"/>
    </row>
    <row r="45" spans="1:12" ht="17.25" customHeight="1">
      <c r="A45" s="293" t="s">
        <v>200</v>
      </c>
      <c r="B45" s="308"/>
      <c r="C45" s="30">
        <f>SUM(C46:C47)</f>
        <v>0</v>
      </c>
      <c r="D45" s="29">
        <f t="shared" ref="D45:K45" si="9">SUM(D46:D47)</f>
        <v>0</v>
      </c>
      <c r="E45" s="29">
        <f t="shared" si="9"/>
        <v>0</v>
      </c>
      <c r="F45" s="29">
        <f t="shared" si="9"/>
        <v>0</v>
      </c>
      <c r="G45" s="29">
        <f t="shared" si="9"/>
        <v>0</v>
      </c>
      <c r="H45" s="29">
        <f t="shared" si="9"/>
        <v>0</v>
      </c>
      <c r="I45" s="243">
        <f t="shared" si="1"/>
        <v>0</v>
      </c>
      <c r="J45" s="243">
        <f t="shared" si="2"/>
        <v>0</v>
      </c>
      <c r="K45" s="29">
        <f t="shared" si="9"/>
        <v>0</v>
      </c>
      <c r="L45" s="87">
        <f>SUM(L46:L47)</f>
        <v>0</v>
      </c>
    </row>
    <row r="46" spans="1:12" ht="11.25" customHeight="1">
      <c r="A46" s="274" t="s">
        <v>581</v>
      </c>
      <c r="B46" s="308"/>
      <c r="C46" s="310"/>
      <c r="D46" s="296"/>
      <c r="E46" s="296"/>
      <c r="F46" s="296"/>
      <c r="G46" s="296"/>
      <c r="H46" s="296"/>
      <c r="I46" s="355">
        <f t="shared" si="1"/>
        <v>0</v>
      </c>
      <c r="J46" s="355">
        <f t="shared" si="2"/>
        <v>0</v>
      </c>
      <c r="K46" s="296"/>
      <c r="L46" s="328"/>
    </row>
    <row r="47" spans="1:12" ht="11.25" customHeight="1">
      <c r="A47" s="295" t="s">
        <v>246</v>
      </c>
      <c r="B47" s="308"/>
      <c r="C47" s="311"/>
      <c r="D47" s="297"/>
      <c r="E47" s="297"/>
      <c r="F47" s="297"/>
      <c r="G47" s="297"/>
      <c r="H47" s="297"/>
      <c r="I47" s="356">
        <f t="shared" si="1"/>
        <v>0</v>
      </c>
      <c r="J47" s="356">
        <f t="shared" si="2"/>
        <v>0</v>
      </c>
      <c r="K47" s="297"/>
      <c r="L47" s="329"/>
    </row>
    <row r="48" spans="1:12" ht="5.0999999999999996" customHeight="1">
      <c r="A48" s="298"/>
      <c r="B48" s="308"/>
      <c r="C48" s="30"/>
      <c r="D48" s="29"/>
      <c r="E48" s="29"/>
      <c r="F48" s="29"/>
      <c r="G48" s="29"/>
      <c r="H48" s="29"/>
      <c r="I48" s="243">
        <f t="shared" si="1"/>
        <v>0</v>
      </c>
      <c r="J48" s="243">
        <f t="shared" si="2"/>
        <v>0</v>
      </c>
      <c r="K48" s="29"/>
      <c r="L48" s="87"/>
    </row>
    <row r="49" spans="1:12" ht="17.25" customHeight="1">
      <c r="A49" s="293" t="s">
        <v>201</v>
      </c>
      <c r="B49" s="308"/>
      <c r="C49" s="34">
        <f>SUM(C50:C51)</f>
        <v>0</v>
      </c>
      <c r="D49" s="33">
        <f t="shared" ref="D49:K49" si="10">SUM(D50:D51)</f>
        <v>0</v>
      </c>
      <c r="E49" s="33">
        <f t="shared" si="10"/>
        <v>0</v>
      </c>
      <c r="F49" s="33">
        <f t="shared" si="10"/>
        <v>0</v>
      </c>
      <c r="G49" s="33">
        <f t="shared" si="10"/>
        <v>0</v>
      </c>
      <c r="H49" s="33">
        <f t="shared" si="10"/>
        <v>0</v>
      </c>
      <c r="I49" s="319">
        <f t="shared" si="1"/>
        <v>0</v>
      </c>
      <c r="J49" s="319">
        <f t="shared" si="2"/>
        <v>0</v>
      </c>
      <c r="K49" s="33">
        <f t="shared" si="10"/>
        <v>0</v>
      </c>
      <c r="L49" s="106">
        <f>SUM(L50:L51)</f>
        <v>0</v>
      </c>
    </row>
    <row r="50" spans="1:12" ht="11.25" customHeight="1">
      <c r="A50" s="274" t="s">
        <v>582</v>
      </c>
      <c r="B50" s="308"/>
      <c r="C50" s="280"/>
      <c r="D50" s="281"/>
      <c r="E50" s="281"/>
      <c r="F50" s="281"/>
      <c r="G50" s="281"/>
      <c r="H50" s="281"/>
      <c r="I50" s="339">
        <f t="shared" si="1"/>
        <v>0</v>
      </c>
      <c r="J50" s="339">
        <f t="shared" si="2"/>
        <v>0</v>
      </c>
      <c r="K50" s="281"/>
      <c r="L50" s="330"/>
    </row>
    <row r="51" spans="1:12" ht="11.25" customHeight="1">
      <c r="A51" s="274" t="s">
        <v>246</v>
      </c>
      <c r="B51" s="308"/>
      <c r="C51" s="217"/>
      <c r="D51" s="218"/>
      <c r="E51" s="218"/>
      <c r="F51" s="218"/>
      <c r="G51" s="218"/>
      <c r="H51" s="218"/>
      <c r="I51" s="357">
        <f t="shared" si="1"/>
        <v>0</v>
      </c>
      <c r="J51" s="357">
        <f t="shared" si="2"/>
        <v>0</v>
      </c>
      <c r="K51" s="218"/>
      <c r="L51" s="219"/>
    </row>
    <row r="52" spans="1:12" ht="5.0999999999999996" customHeight="1">
      <c r="A52" s="298"/>
      <c r="B52" s="308"/>
      <c r="C52" s="30"/>
      <c r="D52" s="29"/>
      <c r="E52" s="29"/>
      <c r="F52" s="29"/>
      <c r="G52" s="29"/>
      <c r="H52" s="29"/>
      <c r="I52" s="243">
        <f t="shared" si="1"/>
        <v>0</v>
      </c>
      <c r="J52" s="243">
        <f t="shared" si="2"/>
        <v>0</v>
      </c>
      <c r="K52" s="29"/>
      <c r="L52" s="87"/>
    </row>
    <row r="53" spans="1:12" ht="12.75" customHeight="1">
      <c r="A53" s="23" t="s">
        <v>202</v>
      </c>
      <c r="B53" s="307"/>
      <c r="C53" s="34">
        <f t="shared" ref="C53:K53" si="11">SUM(C54:C65)</f>
        <v>0</v>
      </c>
      <c r="D53" s="33">
        <f t="shared" si="11"/>
        <v>0</v>
      </c>
      <c r="E53" s="33">
        <f t="shared" si="11"/>
        <v>0</v>
      </c>
      <c r="F53" s="33">
        <f t="shared" si="11"/>
        <v>0</v>
      </c>
      <c r="G53" s="33">
        <f t="shared" si="11"/>
        <v>0</v>
      </c>
      <c r="H53" s="33">
        <f t="shared" si="11"/>
        <v>0</v>
      </c>
      <c r="I53" s="319">
        <f t="shared" si="1"/>
        <v>0</v>
      </c>
      <c r="J53" s="319">
        <f t="shared" si="2"/>
        <v>0</v>
      </c>
      <c r="K53" s="33">
        <f t="shared" si="11"/>
        <v>0</v>
      </c>
      <c r="L53" s="106">
        <f>SUM(L54:L65)</f>
        <v>0</v>
      </c>
    </row>
    <row r="54" spans="1:12" ht="12.75" customHeight="1">
      <c r="A54" s="295" t="s">
        <v>583</v>
      </c>
      <c r="B54" s="307"/>
      <c r="C54" s="214"/>
      <c r="D54" s="215"/>
      <c r="E54" s="215"/>
      <c r="F54" s="215"/>
      <c r="G54" s="215"/>
      <c r="H54" s="215"/>
      <c r="I54" s="347">
        <f t="shared" si="1"/>
        <v>0</v>
      </c>
      <c r="J54" s="347">
        <f t="shared" si="2"/>
        <v>0</v>
      </c>
      <c r="K54" s="215"/>
      <c r="L54" s="216"/>
    </row>
    <row r="55" spans="1:12" ht="12.75" customHeight="1">
      <c r="A55" s="295" t="s">
        <v>245</v>
      </c>
      <c r="B55" s="307"/>
      <c r="C55" s="214"/>
      <c r="D55" s="215"/>
      <c r="E55" s="215"/>
      <c r="F55" s="215"/>
      <c r="G55" s="215"/>
      <c r="H55" s="215"/>
      <c r="I55" s="347">
        <f t="shared" si="1"/>
        <v>0</v>
      </c>
      <c r="J55" s="347">
        <f t="shared" si="2"/>
        <v>0</v>
      </c>
      <c r="K55" s="215"/>
      <c r="L55" s="216"/>
    </row>
    <row r="56" spans="1:12" ht="12.75" customHeight="1">
      <c r="A56" s="295" t="s">
        <v>7</v>
      </c>
      <c r="B56" s="307"/>
      <c r="C56" s="214"/>
      <c r="D56" s="215"/>
      <c r="E56" s="215"/>
      <c r="F56" s="215"/>
      <c r="G56" s="215"/>
      <c r="H56" s="215"/>
      <c r="I56" s="347">
        <f t="shared" si="1"/>
        <v>0</v>
      </c>
      <c r="J56" s="347">
        <f t="shared" si="2"/>
        <v>0</v>
      </c>
      <c r="K56" s="215"/>
      <c r="L56" s="216"/>
    </row>
    <row r="57" spans="1:12" ht="12.75" customHeight="1">
      <c r="A57" s="295" t="s">
        <v>584</v>
      </c>
      <c r="B57" s="307"/>
      <c r="C57" s="214"/>
      <c r="D57" s="215"/>
      <c r="E57" s="215"/>
      <c r="F57" s="215"/>
      <c r="G57" s="215"/>
      <c r="H57" s="215"/>
      <c r="I57" s="347">
        <f t="shared" si="1"/>
        <v>0</v>
      </c>
      <c r="J57" s="347">
        <f t="shared" si="2"/>
        <v>0</v>
      </c>
      <c r="K57" s="215"/>
      <c r="L57" s="216"/>
    </row>
    <row r="58" spans="1:12" ht="12.75" customHeight="1">
      <c r="A58" s="295" t="s">
        <v>585</v>
      </c>
      <c r="B58" s="307"/>
      <c r="C58" s="214"/>
      <c r="D58" s="215"/>
      <c r="E58" s="215"/>
      <c r="F58" s="215"/>
      <c r="G58" s="215"/>
      <c r="H58" s="215"/>
      <c r="I58" s="347">
        <f t="shared" si="1"/>
        <v>0</v>
      </c>
      <c r="J58" s="347">
        <f t="shared" si="2"/>
        <v>0</v>
      </c>
      <c r="K58" s="215"/>
      <c r="L58" s="216"/>
    </row>
    <row r="59" spans="1:12" ht="12.75" customHeight="1">
      <c r="A59" s="295" t="s">
        <v>8</v>
      </c>
      <c r="B59" s="307"/>
      <c r="C59" s="214"/>
      <c r="D59" s="215"/>
      <c r="E59" s="215"/>
      <c r="F59" s="215"/>
      <c r="G59" s="215"/>
      <c r="H59" s="215"/>
      <c r="I59" s="347">
        <f t="shared" si="1"/>
        <v>0</v>
      </c>
      <c r="J59" s="347">
        <f t="shared" si="2"/>
        <v>0</v>
      </c>
      <c r="K59" s="215"/>
      <c r="L59" s="216"/>
    </row>
    <row r="60" spans="1:12" ht="12.75" customHeight="1">
      <c r="A60" s="295" t="s">
        <v>9</v>
      </c>
      <c r="B60" s="307"/>
      <c r="C60" s="214"/>
      <c r="D60" s="215"/>
      <c r="E60" s="215"/>
      <c r="F60" s="215"/>
      <c r="G60" s="215"/>
      <c r="H60" s="215"/>
      <c r="I60" s="347">
        <f t="shared" si="1"/>
        <v>0</v>
      </c>
      <c r="J60" s="347">
        <f t="shared" si="2"/>
        <v>0</v>
      </c>
      <c r="K60" s="215"/>
      <c r="L60" s="216"/>
    </row>
    <row r="61" spans="1:12" ht="12.75" customHeight="1">
      <c r="A61" s="295" t="s">
        <v>132</v>
      </c>
      <c r="B61" s="307"/>
      <c r="C61" s="214"/>
      <c r="D61" s="215"/>
      <c r="E61" s="215"/>
      <c r="F61" s="215"/>
      <c r="G61" s="215"/>
      <c r="H61" s="215"/>
      <c r="I61" s="347">
        <f t="shared" si="1"/>
        <v>0</v>
      </c>
      <c r="J61" s="347">
        <f t="shared" si="2"/>
        <v>0</v>
      </c>
      <c r="K61" s="215"/>
      <c r="L61" s="216"/>
    </row>
    <row r="62" spans="1:12" ht="12.75" customHeight="1">
      <c r="A62" s="295" t="s">
        <v>586</v>
      </c>
      <c r="B62" s="307"/>
      <c r="C62" s="214"/>
      <c r="D62" s="215"/>
      <c r="E62" s="215"/>
      <c r="F62" s="215"/>
      <c r="G62" s="215"/>
      <c r="H62" s="215"/>
      <c r="I62" s="347">
        <f t="shared" si="1"/>
        <v>0</v>
      </c>
      <c r="J62" s="347">
        <f t="shared" si="2"/>
        <v>0</v>
      </c>
      <c r="K62" s="215"/>
      <c r="L62" s="216"/>
    </row>
    <row r="63" spans="1:12" ht="12.75" customHeight="1">
      <c r="A63" s="295" t="s">
        <v>587</v>
      </c>
      <c r="B63" s="307"/>
      <c r="C63" s="214"/>
      <c r="D63" s="215"/>
      <c r="E63" s="215"/>
      <c r="F63" s="215"/>
      <c r="G63" s="215"/>
      <c r="H63" s="215"/>
      <c r="I63" s="347">
        <f t="shared" si="1"/>
        <v>0</v>
      </c>
      <c r="J63" s="347">
        <f t="shared" si="2"/>
        <v>0</v>
      </c>
      <c r="K63" s="215"/>
      <c r="L63" s="216"/>
    </row>
    <row r="64" spans="1:12" ht="12.75" customHeight="1">
      <c r="A64" s="295" t="s">
        <v>588</v>
      </c>
      <c r="B64" s="307"/>
      <c r="C64" s="214"/>
      <c r="D64" s="215"/>
      <c r="E64" s="215"/>
      <c r="F64" s="215"/>
      <c r="G64" s="215"/>
      <c r="H64" s="215"/>
      <c r="I64" s="347">
        <f t="shared" si="1"/>
        <v>0</v>
      </c>
      <c r="J64" s="347">
        <f t="shared" si="2"/>
        <v>0</v>
      </c>
      <c r="K64" s="215"/>
      <c r="L64" s="216"/>
    </row>
    <row r="65" spans="1:24" ht="12.75" customHeight="1">
      <c r="A65" s="26" t="s">
        <v>246</v>
      </c>
      <c r="B65" s="307"/>
      <c r="C65" s="214"/>
      <c r="D65" s="215"/>
      <c r="E65" s="215"/>
      <c r="F65" s="215"/>
      <c r="G65" s="215"/>
      <c r="H65" s="215"/>
      <c r="I65" s="347">
        <f t="shared" si="1"/>
        <v>0</v>
      </c>
      <c r="J65" s="347">
        <f t="shared" si="2"/>
        <v>0</v>
      </c>
      <c r="K65" s="215"/>
      <c r="L65" s="216"/>
    </row>
    <row r="66" spans="1:24" ht="5.0999999999999996" customHeight="1">
      <c r="A66" s="299"/>
      <c r="B66" s="308"/>
      <c r="C66" s="30"/>
      <c r="D66" s="29"/>
      <c r="E66" s="29"/>
      <c r="F66" s="29"/>
      <c r="G66" s="29"/>
      <c r="H66" s="29"/>
      <c r="I66" s="243">
        <f t="shared" si="1"/>
        <v>0</v>
      </c>
      <c r="J66" s="243">
        <f t="shared" si="2"/>
        <v>0</v>
      </c>
      <c r="K66" s="29"/>
      <c r="L66" s="87"/>
    </row>
    <row r="67" spans="1:24" ht="17.25" customHeight="1">
      <c r="A67" s="293" t="s">
        <v>312</v>
      </c>
      <c r="B67" s="308"/>
      <c r="C67" s="30">
        <f>SUM(C68:C69)</f>
        <v>0</v>
      </c>
      <c r="D67" s="29">
        <f t="shared" ref="D67:K67" si="12">SUM(D68:D69)</f>
        <v>0</v>
      </c>
      <c r="E67" s="29">
        <f t="shared" si="12"/>
        <v>0</v>
      </c>
      <c r="F67" s="29">
        <f t="shared" si="12"/>
        <v>0</v>
      </c>
      <c r="G67" s="29">
        <f t="shared" si="12"/>
        <v>0</v>
      </c>
      <c r="H67" s="29">
        <f t="shared" si="12"/>
        <v>0</v>
      </c>
      <c r="I67" s="243">
        <f t="shared" si="1"/>
        <v>0</v>
      </c>
      <c r="J67" s="243">
        <f t="shared" si="2"/>
        <v>0</v>
      </c>
      <c r="K67" s="29">
        <f t="shared" si="12"/>
        <v>0</v>
      </c>
      <c r="L67" s="87">
        <f>SUM(L68:L69)</f>
        <v>0</v>
      </c>
    </row>
    <row r="68" spans="1:24" ht="11.25" customHeight="1">
      <c r="A68" s="300" t="s">
        <v>327</v>
      </c>
      <c r="B68" s="308"/>
      <c r="C68" s="280"/>
      <c r="D68" s="281"/>
      <c r="E68" s="281"/>
      <c r="F68" s="281"/>
      <c r="G68" s="281"/>
      <c r="H68" s="281"/>
      <c r="I68" s="339">
        <f t="shared" si="1"/>
        <v>0</v>
      </c>
      <c r="J68" s="339">
        <f t="shared" si="2"/>
        <v>0</v>
      </c>
      <c r="K68" s="281"/>
      <c r="L68" s="330"/>
    </row>
    <row r="69" spans="1:24" ht="11.25" customHeight="1">
      <c r="A69" s="300"/>
      <c r="B69" s="308"/>
      <c r="C69" s="217"/>
      <c r="D69" s="218"/>
      <c r="E69" s="218"/>
      <c r="F69" s="218"/>
      <c r="G69" s="218"/>
      <c r="H69" s="218"/>
      <c r="I69" s="357">
        <f t="shared" si="1"/>
        <v>0</v>
      </c>
      <c r="J69" s="357">
        <f t="shared" si="2"/>
        <v>0</v>
      </c>
      <c r="K69" s="218"/>
      <c r="L69" s="219"/>
    </row>
    <row r="70" spans="1:24" ht="5.0999999999999996" customHeight="1">
      <c r="A70" s="299"/>
      <c r="B70" s="308"/>
      <c r="C70" s="30"/>
      <c r="D70" s="29"/>
      <c r="E70" s="29"/>
      <c r="F70" s="29"/>
      <c r="G70" s="29"/>
      <c r="H70" s="29"/>
      <c r="I70" s="243">
        <f t="shared" si="1"/>
        <v>0</v>
      </c>
      <c r="J70" s="243">
        <f t="shared" si="2"/>
        <v>0</v>
      </c>
      <c r="K70" s="29"/>
      <c r="L70" s="87"/>
    </row>
    <row r="71" spans="1:24" ht="17.25" customHeight="1">
      <c r="A71" s="293" t="s">
        <v>28</v>
      </c>
      <c r="B71" s="308"/>
      <c r="C71" s="30">
        <f>SUM(C72:C73)</f>
        <v>0</v>
      </c>
      <c r="D71" s="29">
        <f t="shared" ref="D71:K71" si="13">SUM(D72:D73)</f>
        <v>0</v>
      </c>
      <c r="E71" s="29">
        <f t="shared" si="13"/>
        <v>0</v>
      </c>
      <c r="F71" s="29">
        <f t="shared" si="13"/>
        <v>0</v>
      </c>
      <c r="G71" s="29">
        <f t="shared" si="13"/>
        <v>0</v>
      </c>
      <c r="H71" s="29">
        <f t="shared" si="13"/>
        <v>0</v>
      </c>
      <c r="I71" s="243">
        <f t="shared" si="1"/>
        <v>0</v>
      </c>
      <c r="J71" s="243">
        <f t="shared" si="2"/>
        <v>0</v>
      </c>
      <c r="K71" s="29">
        <f t="shared" si="13"/>
        <v>0</v>
      </c>
      <c r="L71" s="87">
        <f>SUM(L72:L73)</f>
        <v>0</v>
      </c>
    </row>
    <row r="72" spans="1:24" ht="11.25" customHeight="1">
      <c r="A72" s="300" t="s">
        <v>327</v>
      </c>
      <c r="B72" s="308"/>
      <c r="C72" s="280"/>
      <c r="D72" s="281"/>
      <c r="E72" s="281"/>
      <c r="F72" s="281"/>
      <c r="G72" s="281"/>
      <c r="H72" s="281"/>
      <c r="I72" s="339">
        <f t="shared" ref="I72:I85" si="14">SUM(E72:H72)</f>
        <v>0</v>
      </c>
      <c r="J72" s="339">
        <f t="shared" ref="J72:J85" si="15">IF(D72=0,C72+I72,D72+I72)</f>
        <v>0</v>
      </c>
      <c r="K72" s="281"/>
      <c r="L72" s="330"/>
    </row>
    <row r="73" spans="1:24" ht="11.25" customHeight="1">
      <c r="A73" s="300"/>
      <c r="B73" s="308"/>
      <c r="C73" s="217"/>
      <c r="D73" s="218"/>
      <c r="E73" s="218"/>
      <c r="F73" s="218"/>
      <c r="G73" s="218"/>
      <c r="H73" s="218"/>
      <c r="I73" s="357">
        <f t="shared" si="14"/>
        <v>0</v>
      </c>
      <c r="J73" s="357">
        <f t="shared" si="15"/>
        <v>0</v>
      </c>
      <c r="K73" s="218"/>
      <c r="L73" s="219"/>
    </row>
    <row r="74" spans="1:24" ht="5.0999999999999996" customHeight="1">
      <c r="A74" s="27"/>
      <c r="B74" s="307"/>
      <c r="C74" s="30"/>
      <c r="D74" s="29"/>
      <c r="E74" s="29"/>
      <c r="F74" s="29"/>
      <c r="G74" s="29"/>
      <c r="H74" s="29"/>
      <c r="I74" s="243">
        <f t="shared" si="14"/>
        <v>0</v>
      </c>
      <c r="J74" s="243">
        <f t="shared" si="15"/>
        <v>0</v>
      </c>
      <c r="K74" s="29"/>
      <c r="L74" s="87"/>
    </row>
    <row r="75" spans="1:24" ht="17.25" customHeight="1">
      <c r="A75" s="293" t="s">
        <v>55</v>
      </c>
      <c r="B75" s="308"/>
      <c r="C75" s="30">
        <f>SUM(C76:C77)</f>
        <v>0</v>
      </c>
      <c r="D75" s="29">
        <f t="shared" ref="D75:K75" si="16">SUM(D76:D77)</f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  <c r="H75" s="29">
        <f t="shared" si="16"/>
        <v>0</v>
      </c>
      <c r="I75" s="243">
        <f t="shared" si="14"/>
        <v>0</v>
      </c>
      <c r="J75" s="243">
        <f t="shared" si="15"/>
        <v>0</v>
      </c>
      <c r="K75" s="29">
        <f t="shared" si="16"/>
        <v>0</v>
      </c>
      <c r="L75" s="87">
        <f>SUM(L76:L77)</f>
        <v>0</v>
      </c>
    </row>
    <row r="76" spans="1:24" ht="11.25" customHeight="1">
      <c r="A76" s="295" t="s">
        <v>171</v>
      </c>
      <c r="B76" s="308"/>
      <c r="C76" s="280"/>
      <c r="D76" s="281"/>
      <c r="E76" s="281"/>
      <c r="F76" s="281"/>
      <c r="G76" s="281"/>
      <c r="H76" s="281"/>
      <c r="I76" s="339">
        <f t="shared" si="14"/>
        <v>0</v>
      </c>
      <c r="J76" s="339">
        <f t="shared" si="15"/>
        <v>0</v>
      </c>
      <c r="K76" s="281"/>
      <c r="L76" s="330"/>
    </row>
    <row r="77" spans="1:24" ht="11.25" customHeight="1">
      <c r="A77" s="301" t="s">
        <v>589</v>
      </c>
      <c r="B77" s="308"/>
      <c r="C77" s="217"/>
      <c r="D77" s="218"/>
      <c r="E77" s="218"/>
      <c r="F77" s="218"/>
      <c r="G77" s="218"/>
      <c r="H77" s="218"/>
      <c r="I77" s="357">
        <f t="shared" si="14"/>
        <v>0</v>
      </c>
      <c r="J77" s="357">
        <f t="shared" si="15"/>
        <v>0</v>
      </c>
      <c r="K77" s="218"/>
      <c r="L77" s="219"/>
    </row>
    <row r="78" spans="1:24" ht="5.0999999999999996" customHeight="1">
      <c r="A78" s="298"/>
      <c r="B78" s="308"/>
      <c r="C78" s="34"/>
      <c r="D78" s="33"/>
      <c r="E78" s="33"/>
      <c r="F78" s="33"/>
      <c r="G78" s="33"/>
      <c r="H78" s="33"/>
      <c r="I78" s="319">
        <f t="shared" si="14"/>
        <v>0</v>
      </c>
      <c r="J78" s="319">
        <f t="shared" si="15"/>
        <v>0</v>
      </c>
      <c r="K78" s="33"/>
      <c r="L78" s="106"/>
    </row>
    <row r="79" spans="1:24" ht="12.75" customHeight="1">
      <c r="A79" s="382" t="s">
        <v>925</v>
      </c>
      <c r="B79" s="312">
        <v>1</v>
      </c>
      <c r="C79" s="37">
        <f>C8+C29+C45+C49+C53+C67+C71+C75</f>
        <v>0</v>
      </c>
      <c r="D79" s="36">
        <f t="shared" ref="D79:K79" si="17">D8+D29+D45+D49+D53+D67+D71+D75</f>
        <v>0</v>
      </c>
      <c r="E79" s="36">
        <f t="shared" si="17"/>
        <v>0</v>
      </c>
      <c r="F79" s="36">
        <f t="shared" si="17"/>
        <v>0</v>
      </c>
      <c r="G79" s="36">
        <f t="shared" si="17"/>
        <v>0</v>
      </c>
      <c r="H79" s="36">
        <f t="shared" si="17"/>
        <v>0</v>
      </c>
      <c r="I79" s="331">
        <f t="shared" si="14"/>
        <v>0</v>
      </c>
      <c r="J79" s="331">
        <f t="shared" si="15"/>
        <v>0</v>
      </c>
      <c r="K79" s="36">
        <f t="shared" si="17"/>
        <v>0</v>
      </c>
      <c r="L79" s="115">
        <f>L8+L29+L45+L49+L53+L67+L71+L75</f>
        <v>0</v>
      </c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</row>
    <row r="80" spans="1:24" ht="12.75" customHeight="1">
      <c r="A80" s="399"/>
      <c r="B80" s="400"/>
      <c r="C80" s="401"/>
      <c r="D80" s="401"/>
      <c r="E80" s="401"/>
      <c r="F80" s="401"/>
      <c r="G80" s="401"/>
      <c r="H80" s="401"/>
      <c r="I80" s="402"/>
      <c r="J80" s="402"/>
      <c r="K80" s="401"/>
      <c r="L80" s="401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</row>
    <row r="81" spans="1:23" ht="12.75" customHeight="1">
      <c r="A81" s="303" t="s">
        <v>245</v>
      </c>
      <c r="B81" s="302"/>
      <c r="C81" s="304">
        <f t="shared" ref="C81:K81" si="18">SUM(C82:C85)</f>
        <v>0</v>
      </c>
      <c r="D81" s="305">
        <f t="shared" si="18"/>
        <v>0</v>
      </c>
      <c r="E81" s="305">
        <f t="shared" si="18"/>
        <v>0</v>
      </c>
      <c r="F81" s="305">
        <f t="shared" si="18"/>
        <v>0</v>
      </c>
      <c r="G81" s="305">
        <f t="shared" si="18"/>
        <v>0</v>
      </c>
      <c r="H81" s="305">
        <f t="shared" si="18"/>
        <v>0</v>
      </c>
      <c r="I81" s="332">
        <f t="shared" si="14"/>
        <v>0</v>
      </c>
      <c r="J81" s="332">
        <f t="shared" si="15"/>
        <v>0</v>
      </c>
      <c r="K81" s="305">
        <f t="shared" si="18"/>
        <v>0</v>
      </c>
      <c r="L81" s="306">
        <f>SUM(L82:L85)</f>
        <v>0</v>
      </c>
    </row>
    <row r="82" spans="1:23" ht="12.75" customHeight="1">
      <c r="A82" s="26" t="s">
        <v>96</v>
      </c>
      <c r="B82" s="307"/>
      <c r="C82" s="214"/>
      <c r="D82" s="215"/>
      <c r="E82" s="215"/>
      <c r="F82" s="215"/>
      <c r="G82" s="215"/>
      <c r="H82" s="215"/>
      <c r="I82" s="347">
        <f t="shared" si="14"/>
        <v>0</v>
      </c>
      <c r="J82" s="347">
        <f t="shared" si="15"/>
        <v>0</v>
      </c>
      <c r="K82" s="215"/>
      <c r="L82" s="216"/>
    </row>
    <row r="83" spans="1:23" ht="12.75" customHeight="1">
      <c r="A83" s="26" t="s">
        <v>133</v>
      </c>
      <c r="B83" s="307"/>
      <c r="C83" s="214"/>
      <c r="D83" s="215"/>
      <c r="E83" s="215"/>
      <c r="F83" s="215"/>
      <c r="G83" s="215"/>
      <c r="H83" s="215"/>
      <c r="I83" s="347">
        <f t="shared" si="14"/>
        <v>0</v>
      </c>
      <c r="J83" s="347">
        <f t="shared" si="15"/>
        <v>0</v>
      </c>
      <c r="K83" s="215"/>
      <c r="L83" s="216"/>
    </row>
    <row r="84" spans="1:23" ht="12.75" customHeight="1">
      <c r="A84" s="26" t="s">
        <v>134</v>
      </c>
      <c r="B84" s="307"/>
      <c r="C84" s="214"/>
      <c r="D84" s="215"/>
      <c r="E84" s="215"/>
      <c r="F84" s="215"/>
      <c r="G84" s="215"/>
      <c r="H84" s="215"/>
      <c r="I84" s="347">
        <f t="shared" si="14"/>
        <v>0</v>
      </c>
      <c r="J84" s="347">
        <f t="shared" si="15"/>
        <v>0</v>
      </c>
      <c r="K84" s="215"/>
      <c r="L84" s="216"/>
    </row>
    <row r="85" spans="1:23" ht="12.75" customHeight="1">
      <c r="A85" s="82" t="s">
        <v>135</v>
      </c>
      <c r="B85" s="325"/>
      <c r="C85" s="234"/>
      <c r="D85" s="235"/>
      <c r="E85" s="235"/>
      <c r="F85" s="235"/>
      <c r="G85" s="235"/>
      <c r="H85" s="235"/>
      <c r="I85" s="358">
        <f t="shared" si="14"/>
        <v>0</v>
      </c>
      <c r="J85" s="358">
        <f t="shared" si="15"/>
        <v>0</v>
      </c>
      <c r="K85" s="235"/>
      <c r="L85" s="238"/>
    </row>
    <row r="86" spans="1:23" ht="12.75" customHeight="1">
      <c r="A86" s="42"/>
      <c r="B86" s="39"/>
      <c r="C86" s="32"/>
      <c r="D86" s="32"/>
      <c r="E86" s="32"/>
      <c r="F86" s="32"/>
      <c r="G86" s="32"/>
      <c r="H86" s="32"/>
      <c r="I86" s="32"/>
      <c r="J86" s="32"/>
      <c r="K86" s="3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  <row r="87" spans="1:23" ht="12.75" customHeight="1">
      <c r="A87" s="38" t="str">
        <f>head27a</f>
        <v>References</v>
      </c>
      <c r="B87" s="39"/>
      <c r="C87" s="43"/>
      <c r="D87" s="43"/>
      <c r="E87" s="43"/>
      <c r="F87" s="43"/>
      <c r="G87" s="43"/>
      <c r="H87" s="43"/>
      <c r="I87" s="43"/>
      <c r="J87" s="43"/>
      <c r="K87" s="43"/>
    </row>
    <row r="88" spans="1:23" ht="12.75" customHeight="1">
      <c r="A88" s="54" t="s">
        <v>590</v>
      </c>
      <c r="B88" s="39"/>
      <c r="C88" s="42"/>
      <c r="D88" s="42"/>
      <c r="E88" s="43"/>
      <c r="F88" s="43"/>
      <c r="G88" s="43"/>
      <c r="H88" s="43"/>
      <c r="I88" s="43"/>
      <c r="J88" s="43"/>
      <c r="K88" s="43"/>
    </row>
    <row r="89" spans="1:23" ht="11.25" customHeight="1">
      <c r="A89" s="47"/>
      <c r="B89" s="39"/>
      <c r="C89" s="42"/>
      <c r="D89" s="42"/>
      <c r="E89" s="43"/>
      <c r="F89" s="43"/>
      <c r="G89" s="43"/>
      <c r="H89" s="43"/>
      <c r="I89" s="43"/>
      <c r="J89" s="43"/>
      <c r="K89" s="43"/>
    </row>
    <row r="90" spans="1:23" ht="11.25" customHeight="1">
      <c r="A90" s="56" t="s">
        <v>248</v>
      </c>
      <c r="B90" s="44"/>
      <c r="C90" s="73">
        <f>C79-('E3-Capex'!C32-SE6a!C79)</f>
        <v>0</v>
      </c>
      <c r="D90" s="73">
        <f>D79-('E3-Capex'!D32-SE6a!D79)</f>
        <v>-25000</v>
      </c>
      <c r="E90" s="73">
        <f>E79-('E3-Capex'!E32-SE6a!E79)</f>
        <v>0</v>
      </c>
      <c r="F90" s="73">
        <f>F79-('E3-Capex'!F32-SE6a!F79)</f>
        <v>0</v>
      </c>
      <c r="G90" s="73">
        <f>G79-('E3-Capex'!G32-SE6a!G79)</f>
        <v>0</v>
      </c>
      <c r="H90" s="73">
        <f>H79-('E3-Capex'!H32-SE6a!H79)</f>
        <v>0</v>
      </c>
      <c r="I90" s="73">
        <f>I79-('E3-Capex'!I32-SE6a!I79)</f>
        <v>0</v>
      </c>
      <c r="J90" s="73">
        <f>J79-('E3-Capex'!J32-SE6a!J79)</f>
        <v>-25000</v>
      </c>
      <c r="K90" s="73">
        <f>K79-('E3-Capex'!K32-SE6a!K79)</f>
        <v>-28000</v>
      </c>
    </row>
    <row r="91" spans="1:23" ht="11.25" customHeight="1"/>
    <row r="92" spans="1:23" ht="11.25" customHeight="1"/>
    <row r="93" spans="1:23" ht="11.25" customHeight="1"/>
    <row r="94" spans="1:23" ht="11.25" customHeight="1"/>
    <row r="95" spans="1:23" ht="11.25" customHeight="1"/>
    <row r="96" spans="1:23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</sheetData>
  <mergeCells count="3">
    <mergeCell ref="A2:A3"/>
    <mergeCell ref="B2:B3"/>
    <mergeCell ref="C2:J2"/>
  </mergeCells>
  <phoneticPr fontId="2" type="noConversion"/>
  <dataValidations count="2">
    <dataValidation type="whole" allowBlank="1" showInputMessage="1" showErrorMessage="1" sqref="C10:H11 K10:L11 C13:H15 K13:L15 C17:H19 K17:L19 C21:H22 K21:L22 C24:H28 K24:L27 C30:H43 K30:L43 D46 C46:H47 K46:L47 C50:H51 K50:L51">
      <formula1>-999999999999</formula1>
      <formula2>9999999999999</formula2>
    </dataValidation>
    <dataValidation type="whole" allowBlank="1" showInputMessage="1" showErrorMessage="1" sqref="C54:H65 K54:L65 C68:H69 K68:L69 C72:H73 K72:L73 C76:H77 K76:L77 C82:H85 K82:L85">
      <formula1>-9999999999999</formula1>
      <formula2>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rgb="FFC4FCDF"/>
  </sheetPr>
  <dimension ref="A1:X125"/>
  <sheetViews>
    <sheetView showGridLines="0" zoomScale="80" zoomScaleNormal="80" workbookViewId="0"/>
  </sheetViews>
  <sheetFormatPr defaultRowHeight="12.75"/>
  <cols>
    <col min="1" max="1" width="35.7109375" style="20" customWidth="1"/>
    <col min="2" max="2" width="3.140625" style="48" customWidth="1"/>
    <col min="3" max="11" width="8.7109375" style="20" customWidth="1"/>
    <col min="12" max="12" width="9.85546875" style="20" customWidth="1"/>
    <col min="13" max="13" width="9.57031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3" ht="13.5">
      <c r="A1" s="19" t="str">
        <f>MEAB10c&amp;" - "&amp;Date</f>
        <v xml:space="preserve"> - Supporting Table SE6c Adjustments expenditure on repairs and maintenance by asset category - </v>
      </c>
    </row>
    <row r="2" spans="1:13" ht="38.25">
      <c r="A2" s="428" t="str">
        <f>desc</f>
        <v>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3" ht="12.75" customHeight="1">
      <c r="A3" s="429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3">
      <c r="A4" s="317"/>
      <c r="B4" s="318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3">
      <c r="A5" s="321" t="s">
        <v>199</v>
      </c>
      <c r="B5" s="74">
        <v>1</v>
      </c>
      <c r="C5" s="322" t="s">
        <v>111</v>
      </c>
      <c r="D5" s="323" t="s">
        <v>325</v>
      </c>
      <c r="E5" s="323" t="s">
        <v>81</v>
      </c>
      <c r="F5" s="323" t="s">
        <v>37</v>
      </c>
      <c r="G5" s="324" t="s">
        <v>139</v>
      </c>
      <c r="H5" s="324" t="s">
        <v>12</v>
      </c>
      <c r="I5" s="324" t="s">
        <v>13</v>
      </c>
      <c r="J5" s="324" t="s">
        <v>14</v>
      </c>
      <c r="K5" s="134"/>
      <c r="L5" s="173"/>
    </row>
    <row r="6" spans="1:13" ht="12.75" customHeight="1">
      <c r="A6" s="381" t="s">
        <v>926</v>
      </c>
      <c r="B6" s="307"/>
      <c r="C6" s="326"/>
      <c r="D6" s="67"/>
      <c r="E6" s="67"/>
      <c r="F6" s="67"/>
      <c r="G6" s="67"/>
      <c r="H6" s="67"/>
      <c r="I6" s="67"/>
      <c r="J6" s="67"/>
      <c r="K6" s="67"/>
      <c r="L6" s="86"/>
    </row>
    <row r="7" spans="1:13" ht="5.0999999999999996" customHeight="1">
      <c r="A7" s="23"/>
      <c r="B7" s="307"/>
      <c r="C7" s="30"/>
      <c r="D7" s="29"/>
      <c r="E7" s="29"/>
      <c r="F7" s="29"/>
      <c r="G7" s="29"/>
      <c r="H7" s="29"/>
      <c r="I7" s="29"/>
      <c r="J7" s="29"/>
      <c r="K7" s="29"/>
      <c r="L7" s="87"/>
    </row>
    <row r="8" spans="1:13" ht="11.25" customHeight="1">
      <c r="A8" s="293" t="s">
        <v>173</v>
      </c>
      <c r="B8" s="308"/>
      <c r="C8" s="320">
        <f t="shared" ref="C8:K8" si="0">C9+C12+C16+C20+C23</f>
        <v>0</v>
      </c>
      <c r="D8" s="319">
        <f t="shared" si="0"/>
        <v>0</v>
      </c>
      <c r="E8" s="319">
        <f t="shared" si="0"/>
        <v>0</v>
      </c>
      <c r="F8" s="319">
        <f t="shared" si="0"/>
        <v>0</v>
      </c>
      <c r="G8" s="319">
        <f t="shared" si="0"/>
        <v>0</v>
      </c>
      <c r="H8" s="319">
        <f t="shared" si="0"/>
        <v>0</v>
      </c>
      <c r="I8" s="319">
        <f t="shared" ref="I8:I71" si="1">SUM(E8:H8)</f>
        <v>0</v>
      </c>
      <c r="J8" s="319">
        <f t="shared" ref="J8:J71" si="2">IF(D8=0,C8+I8,D8+I8)</f>
        <v>0</v>
      </c>
      <c r="K8" s="319">
        <f t="shared" si="0"/>
        <v>0</v>
      </c>
      <c r="L8" s="327">
        <f>L9+L12+L16+L20+L23</f>
        <v>0</v>
      </c>
    </row>
    <row r="9" spans="1:13" s="375" customFormat="1" ht="13.5">
      <c r="A9" s="274" t="s">
        <v>557</v>
      </c>
      <c r="B9" s="308"/>
      <c r="C9" s="338">
        <f>SUM(C10:C11)</f>
        <v>0</v>
      </c>
      <c r="D9" s="339">
        <f t="shared" ref="D9:K9" si="3">SUM(D10:D11)</f>
        <v>0</v>
      </c>
      <c r="E9" s="339">
        <f t="shared" si="3"/>
        <v>0</v>
      </c>
      <c r="F9" s="339">
        <f t="shared" si="3"/>
        <v>0</v>
      </c>
      <c r="G9" s="339">
        <f t="shared" si="3"/>
        <v>0</v>
      </c>
      <c r="H9" s="339">
        <f t="shared" si="3"/>
        <v>0</v>
      </c>
      <c r="I9" s="339">
        <f t="shared" si="1"/>
        <v>0</v>
      </c>
      <c r="J9" s="339">
        <f t="shared" si="2"/>
        <v>0</v>
      </c>
      <c r="K9" s="339">
        <f t="shared" si="3"/>
        <v>0</v>
      </c>
      <c r="L9" s="340">
        <f>SUM(L10:L11)</f>
        <v>0</v>
      </c>
      <c r="M9" s="20"/>
    </row>
    <row r="10" spans="1:13" s="375" customFormat="1" ht="13.5">
      <c r="A10" s="294" t="s">
        <v>558</v>
      </c>
      <c r="B10" s="308"/>
      <c r="C10" s="214"/>
      <c r="D10" s="215"/>
      <c r="E10" s="215"/>
      <c r="F10" s="215"/>
      <c r="G10" s="215"/>
      <c r="H10" s="215"/>
      <c r="I10" s="347">
        <f t="shared" si="1"/>
        <v>0</v>
      </c>
      <c r="J10" s="347">
        <f t="shared" si="2"/>
        <v>0</v>
      </c>
      <c r="K10" s="215"/>
      <c r="L10" s="216"/>
      <c r="M10" s="20"/>
    </row>
    <row r="11" spans="1:13" s="375" customFormat="1" ht="13.5">
      <c r="A11" s="294" t="s">
        <v>559</v>
      </c>
      <c r="B11" s="308"/>
      <c r="C11" s="214"/>
      <c r="D11" s="215"/>
      <c r="E11" s="215"/>
      <c r="F11" s="215"/>
      <c r="G11" s="215"/>
      <c r="H11" s="215"/>
      <c r="I11" s="347">
        <f t="shared" si="1"/>
        <v>0</v>
      </c>
      <c r="J11" s="347">
        <f t="shared" si="2"/>
        <v>0</v>
      </c>
      <c r="K11" s="215"/>
      <c r="L11" s="216"/>
      <c r="M11" s="20"/>
    </row>
    <row r="12" spans="1:13" s="375" customFormat="1" ht="13.5">
      <c r="A12" s="274" t="s">
        <v>560</v>
      </c>
      <c r="B12" s="308"/>
      <c r="C12" s="350">
        <f>SUM(C13:C15)</f>
        <v>0</v>
      </c>
      <c r="D12" s="347">
        <f t="shared" ref="D12:K12" si="4">SUM(D13:D15)</f>
        <v>0</v>
      </c>
      <c r="E12" s="347">
        <f t="shared" si="4"/>
        <v>0</v>
      </c>
      <c r="F12" s="347">
        <f t="shared" si="4"/>
        <v>0</v>
      </c>
      <c r="G12" s="347">
        <f t="shared" si="4"/>
        <v>0</v>
      </c>
      <c r="H12" s="347">
        <f t="shared" si="4"/>
        <v>0</v>
      </c>
      <c r="I12" s="347">
        <f t="shared" si="1"/>
        <v>0</v>
      </c>
      <c r="J12" s="347">
        <f t="shared" si="2"/>
        <v>0</v>
      </c>
      <c r="K12" s="347">
        <f t="shared" si="4"/>
        <v>0</v>
      </c>
      <c r="L12" s="348">
        <f>SUM(L13:L15)</f>
        <v>0</v>
      </c>
      <c r="M12" s="20"/>
    </row>
    <row r="13" spans="1:13" s="375" customFormat="1" ht="13.5">
      <c r="A13" s="294" t="s">
        <v>561</v>
      </c>
      <c r="B13" s="308"/>
      <c r="C13" s="214"/>
      <c r="D13" s="215"/>
      <c r="E13" s="215"/>
      <c r="F13" s="215"/>
      <c r="G13" s="215"/>
      <c r="H13" s="215"/>
      <c r="I13" s="347">
        <f t="shared" si="1"/>
        <v>0</v>
      </c>
      <c r="J13" s="347">
        <f t="shared" si="2"/>
        <v>0</v>
      </c>
      <c r="K13" s="215"/>
      <c r="L13" s="216"/>
      <c r="M13" s="20"/>
    </row>
    <row r="14" spans="1:13" s="375" customFormat="1" ht="13.5">
      <c r="A14" s="294" t="s">
        <v>562</v>
      </c>
      <c r="B14" s="308"/>
      <c r="C14" s="214"/>
      <c r="D14" s="215"/>
      <c r="E14" s="215"/>
      <c r="F14" s="215"/>
      <c r="G14" s="215"/>
      <c r="H14" s="215"/>
      <c r="I14" s="347">
        <f t="shared" si="1"/>
        <v>0</v>
      </c>
      <c r="J14" s="347">
        <f t="shared" si="2"/>
        <v>0</v>
      </c>
      <c r="K14" s="215"/>
      <c r="L14" s="216"/>
      <c r="M14" s="20"/>
    </row>
    <row r="15" spans="1:13" s="375" customFormat="1" ht="13.5">
      <c r="A15" s="294" t="s">
        <v>52</v>
      </c>
      <c r="B15" s="308"/>
      <c r="C15" s="214"/>
      <c r="D15" s="215"/>
      <c r="E15" s="215"/>
      <c r="F15" s="215"/>
      <c r="G15" s="215"/>
      <c r="H15" s="215"/>
      <c r="I15" s="347">
        <f t="shared" si="1"/>
        <v>0</v>
      </c>
      <c r="J15" s="347">
        <f t="shared" si="2"/>
        <v>0</v>
      </c>
      <c r="K15" s="215"/>
      <c r="L15" s="216"/>
      <c r="M15" s="20"/>
    </row>
    <row r="16" spans="1:13" s="375" customFormat="1" ht="13.5">
      <c r="A16" s="295" t="s">
        <v>563</v>
      </c>
      <c r="B16" s="309"/>
      <c r="C16" s="350">
        <f>SUM(C17:C19)</f>
        <v>0</v>
      </c>
      <c r="D16" s="347">
        <f t="shared" ref="D16:K16" si="5">SUM(D17:D19)</f>
        <v>0</v>
      </c>
      <c r="E16" s="347">
        <f t="shared" si="5"/>
        <v>0</v>
      </c>
      <c r="F16" s="347">
        <f t="shared" si="5"/>
        <v>0</v>
      </c>
      <c r="G16" s="347">
        <f t="shared" si="5"/>
        <v>0</v>
      </c>
      <c r="H16" s="347">
        <f t="shared" si="5"/>
        <v>0</v>
      </c>
      <c r="I16" s="347">
        <f t="shared" si="1"/>
        <v>0</v>
      </c>
      <c r="J16" s="347">
        <f t="shared" si="2"/>
        <v>0</v>
      </c>
      <c r="K16" s="347">
        <f t="shared" si="5"/>
        <v>0</v>
      </c>
      <c r="L16" s="348">
        <f>SUM(L17:L19)</f>
        <v>0</v>
      </c>
      <c r="M16" s="20"/>
    </row>
    <row r="17" spans="1:13" s="375" customFormat="1" ht="13.5">
      <c r="A17" s="294" t="s">
        <v>564</v>
      </c>
      <c r="B17" s="308"/>
      <c r="C17" s="214"/>
      <c r="D17" s="215"/>
      <c r="E17" s="215"/>
      <c r="F17" s="215"/>
      <c r="G17" s="215"/>
      <c r="H17" s="215"/>
      <c r="I17" s="347">
        <f t="shared" si="1"/>
        <v>0</v>
      </c>
      <c r="J17" s="347">
        <f t="shared" si="2"/>
        <v>0</v>
      </c>
      <c r="K17" s="215"/>
      <c r="L17" s="216"/>
      <c r="M17" s="20"/>
    </row>
    <row r="18" spans="1:13" s="375" customFormat="1" ht="13.5">
      <c r="A18" s="294" t="s">
        <v>565</v>
      </c>
      <c r="B18" s="308"/>
      <c r="C18" s="214"/>
      <c r="D18" s="215"/>
      <c r="E18" s="215"/>
      <c r="F18" s="215"/>
      <c r="G18" s="215"/>
      <c r="H18" s="215"/>
      <c r="I18" s="347">
        <f t="shared" si="1"/>
        <v>0</v>
      </c>
      <c r="J18" s="347">
        <f t="shared" si="2"/>
        <v>0</v>
      </c>
      <c r="K18" s="215"/>
      <c r="L18" s="216"/>
      <c r="M18" s="20"/>
    </row>
    <row r="19" spans="1:13" s="375" customFormat="1" ht="13.5">
      <c r="A19" s="294" t="s">
        <v>566</v>
      </c>
      <c r="B19" s="308"/>
      <c r="C19" s="214"/>
      <c r="D19" s="215"/>
      <c r="E19" s="215"/>
      <c r="F19" s="215"/>
      <c r="G19" s="215"/>
      <c r="H19" s="215"/>
      <c r="I19" s="347">
        <f t="shared" si="1"/>
        <v>0</v>
      </c>
      <c r="J19" s="347">
        <f t="shared" si="2"/>
        <v>0</v>
      </c>
      <c r="K19" s="215"/>
      <c r="L19" s="216"/>
      <c r="M19" s="20"/>
    </row>
    <row r="20" spans="1:13" s="375" customFormat="1" ht="13.5">
      <c r="A20" s="295" t="s">
        <v>567</v>
      </c>
      <c r="B20" s="308"/>
      <c r="C20" s="350">
        <f t="shared" ref="C20:K20" si="6">SUM(C21:C22)</f>
        <v>0</v>
      </c>
      <c r="D20" s="347">
        <f t="shared" si="6"/>
        <v>0</v>
      </c>
      <c r="E20" s="347">
        <f t="shared" si="6"/>
        <v>0</v>
      </c>
      <c r="F20" s="347">
        <f t="shared" si="6"/>
        <v>0</v>
      </c>
      <c r="G20" s="347">
        <f t="shared" si="6"/>
        <v>0</v>
      </c>
      <c r="H20" s="347">
        <f t="shared" si="6"/>
        <v>0</v>
      </c>
      <c r="I20" s="347">
        <f t="shared" si="1"/>
        <v>0</v>
      </c>
      <c r="J20" s="347">
        <f t="shared" si="2"/>
        <v>0</v>
      </c>
      <c r="K20" s="347">
        <f t="shared" si="6"/>
        <v>0</v>
      </c>
      <c r="L20" s="348">
        <f>SUM(L21:L22)</f>
        <v>0</v>
      </c>
      <c r="M20" s="20"/>
    </row>
    <row r="21" spans="1:13" s="375" customFormat="1" ht="13.5">
      <c r="A21" s="294" t="s">
        <v>566</v>
      </c>
      <c r="B21" s="308"/>
      <c r="C21" s="214"/>
      <c r="D21" s="215"/>
      <c r="E21" s="215"/>
      <c r="F21" s="215"/>
      <c r="G21" s="215"/>
      <c r="H21" s="215"/>
      <c r="I21" s="347">
        <f t="shared" si="1"/>
        <v>0</v>
      </c>
      <c r="J21" s="347">
        <f t="shared" si="2"/>
        <v>0</v>
      </c>
      <c r="K21" s="215"/>
      <c r="L21" s="216"/>
      <c r="M21" s="20"/>
    </row>
    <row r="22" spans="1:13" s="375" customFormat="1" ht="13.5">
      <c r="A22" s="294" t="s">
        <v>568</v>
      </c>
      <c r="B22" s="308"/>
      <c r="C22" s="214"/>
      <c r="D22" s="215"/>
      <c r="E22" s="215"/>
      <c r="F22" s="215"/>
      <c r="G22" s="215"/>
      <c r="H22" s="215"/>
      <c r="I22" s="347">
        <f t="shared" si="1"/>
        <v>0</v>
      </c>
      <c r="J22" s="347">
        <f t="shared" si="2"/>
        <v>0</v>
      </c>
      <c r="K22" s="215"/>
      <c r="L22" s="216"/>
      <c r="M22" s="20"/>
    </row>
    <row r="23" spans="1:13" s="375" customFormat="1" ht="13.5">
      <c r="A23" s="274" t="s">
        <v>569</v>
      </c>
      <c r="B23" s="308"/>
      <c r="C23" s="350">
        <f>SUM(C24:C27)</f>
        <v>0</v>
      </c>
      <c r="D23" s="347">
        <f t="shared" ref="D23:K23" si="7">SUM(D24:D27)</f>
        <v>0</v>
      </c>
      <c r="E23" s="347">
        <f t="shared" si="7"/>
        <v>0</v>
      </c>
      <c r="F23" s="347">
        <f t="shared" si="7"/>
        <v>0</v>
      </c>
      <c r="G23" s="347">
        <f t="shared" si="7"/>
        <v>0</v>
      </c>
      <c r="H23" s="347">
        <f t="shared" si="7"/>
        <v>0</v>
      </c>
      <c r="I23" s="347">
        <f t="shared" si="1"/>
        <v>0</v>
      </c>
      <c r="J23" s="347">
        <f t="shared" si="2"/>
        <v>0</v>
      </c>
      <c r="K23" s="347">
        <f t="shared" si="7"/>
        <v>0</v>
      </c>
      <c r="L23" s="348">
        <f>SUM(L24:L27)</f>
        <v>0</v>
      </c>
      <c r="M23" s="20"/>
    </row>
    <row r="24" spans="1:13" s="375" customFormat="1" ht="13.5">
      <c r="A24" s="294" t="s">
        <v>570</v>
      </c>
      <c r="B24" s="308"/>
      <c r="C24" s="214"/>
      <c r="D24" s="215"/>
      <c r="E24" s="215"/>
      <c r="F24" s="215"/>
      <c r="G24" s="215"/>
      <c r="H24" s="215"/>
      <c r="I24" s="347">
        <f t="shared" si="1"/>
        <v>0</v>
      </c>
      <c r="J24" s="347">
        <f t="shared" si="2"/>
        <v>0</v>
      </c>
      <c r="K24" s="215"/>
      <c r="L24" s="216"/>
      <c r="M24" s="20"/>
    </row>
    <row r="25" spans="1:13" s="375" customFormat="1" ht="13.5">
      <c r="A25" s="294" t="s">
        <v>571</v>
      </c>
      <c r="B25" s="308">
        <v>2</v>
      </c>
      <c r="C25" s="214"/>
      <c r="D25" s="215"/>
      <c r="E25" s="215"/>
      <c r="F25" s="215"/>
      <c r="G25" s="215"/>
      <c r="H25" s="215"/>
      <c r="I25" s="347">
        <f t="shared" si="1"/>
        <v>0</v>
      </c>
      <c r="J25" s="347">
        <f t="shared" si="2"/>
        <v>0</v>
      </c>
      <c r="K25" s="215"/>
      <c r="L25" s="216"/>
      <c r="M25" s="20"/>
    </row>
    <row r="26" spans="1:13" s="375" customFormat="1" ht="13.5">
      <c r="A26" s="294" t="s">
        <v>53</v>
      </c>
      <c r="B26" s="308"/>
      <c r="C26" s="214"/>
      <c r="D26" s="215"/>
      <c r="E26" s="215"/>
      <c r="F26" s="215"/>
      <c r="G26" s="215"/>
      <c r="H26" s="215"/>
      <c r="I26" s="347">
        <f t="shared" si="1"/>
        <v>0</v>
      </c>
      <c r="J26" s="347">
        <f t="shared" si="2"/>
        <v>0</v>
      </c>
      <c r="K26" s="215"/>
      <c r="L26" s="216"/>
      <c r="M26" s="20"/>
    </row>
    <row r="27" spans="1:13" s="375" customFormat="1" ht="13.5">
      <c r="A27" s="294" t="s">
        <v>246</v>
      </c>
      <c r="B27" s="308">
        <v>3</v>
      </c>
      <c r="C27" s="214"/>
      <c r="D27" s="215"/>
      <c r="E27" s="215"/>
      <c r="F27" s="215"/>
      <c r="G27" s="215"/>
      <c r="H27" s="215"/>
      <c r="I27" s="347">
        <f t="shared" si="1"/>
        <v>0</v>
      </c>
      <c r="J27" s="347">
        <f t="shared" si="2"/>
        <v>0</v>
      </c>
      <c r="K27" s="215"/>
      <c r="L27" s="216"/>
      <c r="M27" s="20"/>
    </row>
    <row r="28" spans="1:13" ht="5.0999999999999996" customHeight="1">
      <c r="A28" s="27"/>
      <c r="B28" s="307"/>
      <c r="C28" s="30"/>
      <c r="D28" s="29"/>
      <c r="E28" s="29"/>
      <c r="F28" s="29"/>
      <c r="G28" s="29"/>
      <c r="H28" s="29"/>
      <c r="I28" s="243">
        <f t="shared" si="1"/>
        <v>0</v>
      </c>
      <c r="J28" s="243">
        <f t="shared" si="2"/>
        <v>0</v>
      </c>
      <c r="K28" s="29"/>
      <c r="L28" s="87"/>
    </row>
    <row r="29" spans="1:13" ht="12.75" customHeight="1">
      <c r="A29" s="23" t="s">
        <v>376</v>
      </c>
      <c r="B29" s="307"/>
      <c r="C29" s="359">
        <f t="shared" ref="C29:K29" si="8">SUM(C30:C43)</f>
        <v>0</v>
      </c>
      <c r="D29" s="360">
        <f t="shared" si="8"/>
        <v>0</v>
      </c>
      <c r="E29" s="360">
        <f t="shared" si="8"/>
        <v>0</v>
      </c>
      <c r="F29" s="360">
        <f t="shared" si="8"/>
        <v>0</v>
      </c>
      <c r="G29" s="360">
        <f t="shared" si="8"/>
        <v>0</v>
      </c>
      <c r="H29" s="360">
        <f t="shared" si="8"/>
        <v>0</v>
      </c>
      <c r="I29" s="356">
        <f t="shared" si="1"/>
        <v>0</v>
      </c>
      <c r="J29" s="356">
        <f t="shared" si="2"/>
        <v>0</v>
      </c>
      <c r="K29" s="360">
        <f t="shared" si="8"/>
        <v>0</v>
      </c>
      <c r="L29" s="361">
        <f>SUM(L30:L43)</f>
        <v>0</v>
      </c>
    </row>
    <row r="30" spans="1:13" ht="12.75" customHeight="1">
      <c r="A30" s="274" t="s">
        <v>572</v>
      </c>
      <c r="B30" s="307"/>
      <c r="C30" s="214"/>
      <c r="D30" s="215"/>
      <c r="E30" s="215"/>
      <c r="F30" s="215"/>
      <c r="G30" s="215"/>
      <c r="H30" s="215"/>
      <c r="I30" s="347">
        <f t="shared" si="1"/>
        <v>0</v>
      </c>
      <c r="J30" s="347">
        <f t="shared" si="2"/>
        <v>0</v>
      </c>
      <c r="K30" s="215"/>
      <c r="L30" s="216"/>
    </row>
    <row r="31" spans="1:13" ht="12.75" customHeight="1">
      <c r="A31" s="274" t="s">
        <v>573</v>
      </c>
      <c r="B31" s="307"/>
      <c r="C31" s="214"/>
      <c r="D31" s="215"/>
      <c r="E31" s="215"/>
      <c r="F31" s="215"/>
      <c r="G31" s="215"/>
      <c r="H31" s="215"/>
      <c r="I31" s="347">
        <f t="shared" si="1"/>
        <v>0</v>
      </c>
      <c r="J31" s="347">
        <f t="shared" si="2"/>
        <v>0</v>
      </c>
      <c r="K31" s="215"/>
      <c r="L31" s="216"/>
    </row>
    <row r="32" spans="1:13" ht="12.75" customHeight="1">
      <c r="A32" s="274" t="s">
        <v>574</v>
      </c>
      <c r="B32" s="307"/>
      <c r="C32" s="214"/>
      <c r="D32" s="215"/>
      <c r="E32" s="215"/>
      <c r="F32" s="215"/>
      <c r="G32" s="215"/>
      <c r="H32" s="215"/>
      <c r="I32" s="347">
        <f t="shared" si="1"/>
        <v>0</v>
      </c>
      <c r="J32" s="347">
        <f t="shared" si="2"/>
        <v>0</v>
      </c>
      <c r="K32" s="215"/>
      <c r="L32" s="216"/>
    </row>
    <row r="33" spans="1:12" ht="12.75" customHeight="1">
      <c r="A33" s="274" t="s">
        <v>575</v>
      </c>
      <c r="B33" s="307"/>
      <c r="C33" s="214"/>
      <c r="D33" s="215"/>
      <c r="E33" s="215"/>
      <c r="F33" s="215"/>
      <c r="G33" s="215"/>
      <c r="H33" s="215"/>
      <c r="I33" s="347">
        <f t="shared" si="1"/>
        <v>0</v>
      </c>
      <c r="J33" s="347">
        <f t="shared" si="2"/>
        <v>0</v>
      </c>
      <c r="K33" s="215"/>
      <c r="L33" s="216"/>
    </row>
    <row r="34" spans="1:12" ht="12.75" customHeight="1">
      <c r="A34" s="274" t="s">
        <v>93</v>
      </c>
      <c r="B34" s="307"/>
      <c r="C34" s="214"/>
      <c r="D34" s="215"/>
      <c r="E34" s="215"/>
      <c r="F34" s="215"/>
      <c r="G34" s="215"/>
      <c r="H34" s="215"/>
      <c r="I34" s="347">
        <f t="shared" si="1"/>
        <v>0</v>
      </c>
      <c r="J34" s="347">
        <f t="shared" si="2"/>
        <v>0</v>
      </c>
      <c r="K34" s="215"/>
      <c r="L34" s="216"/>
    </row>
    <row r="35" spans="1:12" ht="12.75" customHeight="1">
      <c r="A35" s="274" t="s">
        <v>576</v>
      </c>
      <c r="B35" s="307"/>
      <c r="C35" s="214"/>
      <c r="D35" s="215"/>
      <c r="E35" s="215"/>
      <c r="F35" s="215"/>
      <c r="G35" s="215"/>
      <c r="H35" s="215"/>
      <c r="I35" s="347">
        <f t="shared" si="1"/>
        <v>0</v>
      </c>
      <c r="J35" s="347">
        <f t="shared" si="2"/>
        <v>0</v>
      </c>
      <c r="K35" s="215"/>
      <c r="L35" s="216"/>
    </row>
    <row r="36" spans="1:12" ht="12.75" customHeight="1">
      <c r="A36" s="274" t="s">
        <v>577</v>
      </c>
      <c r="B36" s="307"/>
      <c r="C36" s="214"/>
      <c r="D36" s="215"/>
      <c r="E36" s="215"/>
      <c r="F36" s="215"/>
      <c r="G36" s="215"/>
      <c r="H36" s="215"/>
      <c r="I36" s="347">
        <f t="shared" si="1"/>
        <v>0</v>
      </c>
      <c r="J36" s="347">
        <f t="shared" si="2"/>
        <v>0</v>
      </c>
      <c r="K36" s="215"/>
      <c r="L36" s="216"/>
    </row>
    <row r="37" spans="1:12" ht="12.75" customHeight="1">
      <c r="A37" s="274" t="s">
        <v>578</v>
      </c>
      <c r="B37" s="307"/>
      <c r="C37" s="214"/>
      <c r="D37" s="215"/>
      <c r="E37" s="215"/>
      <c r="F37" s="215"/>
      <c r="G37" s="215"/>
      <c r="H37" s="215"/>
      <c r="I37" s="347">
        <f t="shared" si="1"/>
        <v>0</v>
      </c>
      <c r="J37" s="347">
        <f t="shared" si="2"/>
        <v>0</v>
      </c>
      <c r="K37" s="215"/>
      <c r="L37" s="216"/>
    </row>
    <row r="38" spans="1:12" ht="12.75" customHeight="1">
      <c r="A38" s="274" t="s">
        <v>136</v>
      </c>
      <c r="B38" s="307"/>
      <c r="C38" s="214"/>
      <c r="D38" s="215"/>
      <c r="E38" s="215"/>
      <c r="F38" s="215"/>
      <c r="G38" s="215"/>
      <c r="H38" s="215"/>
      <c r="I38" s="347">
        <f t="shared" si="1"/>
        <v>0</v>
      </c>
      <c r="J38" s="347">
        <f t="shared" si="2"/>
        <v>0</v>
      </c>
      <c r="K38" s="215"/>
      <c r="L38" s="216"/>
    </row>
    <row r="39" spans="1:12" ht="12.75" customHeight="1">
      <c r="A39" s="274" t="s">
        <v>281</v>
      </c>
      <c r="B39" s="307"/>
      <c r="C39" s="214"/>
      <c r="D39" s="215"/>
      <c r="E39" s="215"/>
      <c r="F39" s="215"/>
      <c r="G39" s="215"/>
      <c r="H39" s="215"/>
      <c r="I39" s="347">
        <f t="shared" si="1"/>
        <v>0</v>
      </c>
      <c r="J39" s="347">
        <f t="shared" si="2"/>
        <v>0</v>
      </c>
      <c r="K39" s="215"/>
      <c r="L39" s="216"/>
    </row>
    <row r="40" spans="1:12" ht="12.75" customHeight="1">
      <c r="A40" s="274" t="s">
        <v>282</v>
      </c>
      <c r="B40" s="307"/>
      <c r="C40" s="214"/>
      <c r="D40" s="215"/>
      <c r="E40" s="215"/>
      <c r="F40" s="215"/>
      <c r="G40" s="215"/>
      <c r="H40" s="215"/>
      <c r="I40" s="347">
        <f t="shared" si="1"/>
        <v>0</v>
      </c>
      <c r="J40" s="347">
        <f t="shared" si="2"/>
        <v>0</v>
      </c>
      <c r="K40" s="215"/>
      <c r="L40" s="216"/>
    </row>
    <row r="41" spans="1:12" ht="12.75" customHeight="1">
      <c r="A41" s="274" t="s">
        <v>579</v>
      </c>
      <c r="B41" s="307"/>
      <c r="C41" s="214"/>
      <c r="D41" s="215"/>
      <c r="E41" s="215"/>
      <c r="F41" s="215"/>
      <c r="G41" s="215"/>
      <c r="H41" s="215"/>
      <c r="I41" s="347">
        <f t="shared" si="1"/>
        <v>0</v>
      </c>
      <c r="J41" s="347">
        <f t="shared" si="2"/>
        <v>0</v>
      </c>
      <c r="K41" s="215"/>
      <c r="L41" s="216"/>
    </row>
    <row r="42" spans="1:12" ht="12.75" customHeight="1">
      <c r="A42" s="274" t="s">
        <v>580</v>
      </c>
      <c r="B42" s="307"/>
      <c r="C42" s="214"/>
      <c r="D42" s="215"/>
      <c r="E42" s="215"/>
      <c r="F42" s="215"/>
      <c r="G42" s="215"/>
      <c r="H42" s="215"/>
      <c r="I42" s="347">
        <f t="shared" si="1"/>
        <v>0</v>
      </c>
      <c r="J42" s="347">
        <f t="shared" si="2"/>
        <v>0</v>
      </c>
      <c r="K42" s="215"/>
      <c r="L42" s="216"/>
    </row>
    <row r="43" spans="1:12" ht="12.75" customHeight="1">
      <c r="A43" s="26" t="s">
        <v>246</v>
      </c>
      <c r="B43" s="307"/>
      <c r="C43" s="214"/>
      <c r="D43" s="215"/>
      <c r="E43" s="215"/>
      <c r="F43" s="215"/>
      <c r="G43" s="215"/>
      <c r="H43" s="215"/>
      <c r="I43" s="347">
        <f t="shared" si="1"/>
        <v>0</v>
      </c>
      <c r="J43" s="347">
        <f t="shared" si="2"/>
        <v>0</v>
      </c>
      <c r="K43" s="215"/>
      <c r="L43" s="216"/>
    </row>
    <row r="44" spans="1:12" ht="5.0999999999999996" customHeight="1">
      <c r="A44" s="27"/>
      <c r="B44" s="307"/>
      <c r="C44" s="30"/>
      <c r="D44" s="29"/>
      <c r="E44" s="29"/>
      <c r="F44" s="29"/>
      <c r="G44" s="29"/>
      <c r="H44" s="29"/>
      <c r="I44" s="243">
        <f t="shared" si="1"/>
        <v>0</v>
      </c>
      <c r="J44" s="243">
        <f t="shared" si="2"/>
        <v>0</v>
      </c>
      <c r="K44" s="29"/>
      <c r="L44" s="87"/>
    </row>
    <row r="45" spans="1:12" ht="17.25" customHeight="1">
      <c r="A45" s="293" t="s">
        <v>200</v>
      </c>
      <c r="B45" s="308"/>
      <c r="C45" s="30">
        <f>SUM(C46:C47)</f>
        <v>0</v>
      </c>
      <c r="D45" s="29">
        <f t="shared" ref="D45:K45" si="9">SUM(D46:D47)</f>
        <v>0</v>
      </c>
      <c r="E45" s="29">
        <f t="shared" si="9"/>
        <v>0</v>
      </c>
      <c r="F45" s="29">
        <f t="shared" si="9"/>
        <v>0</v>
      </c>
      <c r="G45" s="29">
        <f t="shared" si="9"/>
        <v>0</v>
      </c>
      <c r="H45" s="29">
        <f t="shared" si="9"/>
        <v>0</v>
      </c>
      <c r="I45" s="243">
        <f t="shared" si="1"/>
        <v>0</v>
      </c>
      <c r="J45" s="243">
        <f t="shared" si="2"/>
        <v>0</v>
      </c>
      <c r="K45" s="29">
        <f t="shared" si="9"/>
        <v>0</v>
      </c>
      <c r="L45" s="87">
        <f>SUM(L46:L47)</f>
        <v>0</v>
      </c>
    </row>
    <row r="46" spans="1:12" ht="11.25" customHeight="1">
      <c r="A46" s="274" t="s">
        <v>581</v>
      </c>
      <c r="B46" s="308"/>
      <c r="C46" s="310"/>
      <c r="D46" s="296"/>
      <c r="E46" s="296"/>
      <c r="F46" s="296"/>
      <c r="G46" s="296"/>
      <c r="H46" s="296"/>
      <c r="I46" s="355">
        <f t="shared" si="1"/>
        <v>0</v>
      </c>
      <c r="J46" s="355">
        <f t="shared" si="2"/>
        <v>0</v>
      </c>
      <c r="K46" s="296"/>
      <c r="L46" s="328"/>
    </row>
    <row r="47" spans="1:12" ht="11.25" customHeight="1">
      <c r="A47" s="295" t="s">
        <v>246</v>
      </c>
      <c r="B47" s="308"/>
      <c r="C47" s="311"/>
      <c r="D47" s="297"/>
      <c r="E47" s="297"/>
      <c r="F47" s="297"/>
      <c r="G47" s="297"/>
      <c r="H47" s="297"/>
      <c r="I47" s="356">
        <f t="shared" si="1"/>
        <v>0</v>
      </c>
      <c r="J47" s="356">
        <f t="shared" si="2"/>
        <v>0</v>
      </c>
      <c r="K47" s="297"/>
      <c r="L47" s="329"/>
    </row>
    <row r="48" spans="1:12" ht="5.0999999999999996" customHeight="1">
      <c r="A48" s="298"/>
      <c r="B48" s="308"/>
      <c r="C48" s="30"/>
      <c r="D48" s="29"/>
      <c r="E48" s="29"/>
      <c r="F48" s="29"/>
      <c r="G48" s="29"/>
      <c r="H48" s="29"/>
      <c r="I48" s="243">
        <f t="shared" si="1"/>
        <v>0</v>
      </c>
      <c r="J48" s="243">
        <f t="shared" si="2"/>
        <v>0</v>
      </c>
      <c r="K48" s="29"/>
      <c r="L48" s="87"/>
    </row>
    <row r="49" spans="1:12" ht="17.25" customHeight="1">
      <c r="A49" s="293" t="s">
        <v>201</v>
      </c>
      <c r="B49" s="308"/>
      <c r="C49" s="34">
        <f>SUM(C50:C51)</f>
        <v>0</v>
      </c>
      <c r="D49" s="33">
        <f t="shared" ref="D49:K49" si="10">SUM(D50:D51)</f>
        <v>0</v>
      </c>
      <c r="E49" s="33">
        <f t="shared" si="10"/>
        <v>0</v>
      </c>
      <c r="F49" s="33">
        <f t="shared" si="10"/>
        <v>0</v>
      </c>
      <c r="G49" s="33">
        <f t="shared" si="10"/>
        <v>0</v>
      </c>
      <c r="H49" s="33">
        <f t="shared" si="10"/>
        <v>0</v>
      </c>
      <c r="I49" s="319">
        <f t="shared" si="1"/>
        <v>0</v>
      </c>
      <c r="J49" s="319">
        <f t="shared" si="2"/>
        <v>0</v>
      </c>
      <c r="K49" s="33">
        <f t="shared" si="10"/>
        <v>0</v>
      </c>
      <c r="L49" s="106">
        <f>SUM(L50:L51)</f>
        <v>0</v>
      </c>
    </row>
    <row r="50" spans="1:12" ht="11.25" customHeight="1">
      <c r="A50" s="274" t="s">
        <v>582</v>
      </c>
      <c r="B50" s="308"/>
      <c r="C50" s="280"/>
      <c r="D50" s="281"/>
      <c r="E50" s="281"/>
      <c r="F50" s="281"/>
      <c r="G50" s="281"/>
      <c r="H50" s="281"/>
      <c r="I50" s="339">
        <f t="shared" si="1"/>
        <v>0</v>
      </c>
      <c r="J50" s="339">
        <f t="shared" si="2"/>
        <v>0</v>
      </c>
      <c r="K50" s="281"/>
      <c r="L50" s="330"/>
    </row>
    <row r="51" spans="1:12" ht="11.25" customHeight="1">
      <c r="A51" s="274" t="s">
        <v>246</v>
      </c>
      <c r="B51" s="308"/>
      <c r="C51" s="217"/>
      <c r="D51" s="218"/>
      <c r="E51" s="218"/>
      <c r="F51" s="218"/>
      <c r="G51" s="218"/>
      <c r="H51" s="218"/>
      <c r="I51" s="357">
        <f t="shared" si="1"/>
        <v>0</v>
      </c>
      <c r="J51" s="357">
        <f t="shared" si="2"/>
        <v>0</v>
      </c>
      <c r="K51" s="218"/>
      <c r="L51" s="219"/>
    </row>
    <row r="52" spans="1:12" ht="5.0999999999999996" customHeight="1">
      <c r="A52" s="298"/>
      <c r="B52" s="308"/>
      <c r="C52" s="30"/>
      <c r="D52" s="29"/>
      <c r="E52" s="29"/>
      <c r="F52" s="29"/>
      <c r="G52" s="29"/>
      <c r="H52" s="29"/>
      <c r="I52" s="243">
        <f t="shared" si="1"/>
        <v>0</v>
      </c>
      <c r="J52" s="243">
        <f t="shared" si="2"/>
        <v>0</v>
      </c>
      <c r="K52" s="29"/>
      <c r="L52" s="87"/>
    </row>
    <row r="53" spans="1:12" ht="12.75" customHeight="1">
      <c r="A53" s="23" t="s">
        <v>202</v>
      </c>
      <c r="B53" s="307"/>
      <c r="C53" s="34">
        <f t="shared" ref="C53:K53" si="11">SUM(C54:C65)</f>
        <v>0</v>
      </c>
      <c r="D53" s="33">
        <f t="shared" si="11"/>
        <v>0</v>
      </c>
      <c r="E53" s="33">
        <f t="shared" si="11"/>
        <v>0</v>
      </c>
      <c r="F53" s="33">
        <f t="shared" si="11"/>
        <v>0</v>
      </c>
      <c r="G53" s="33">
        <f t="shared" si="11"/>
        <v>0</v>
      </c>
      <c r="H53" s="33">
        <f t="shared" si="11"/>
        <v>0</v>
      </c>
      <c r="I53" s="319">
        <f t="shared" si="1"/>
        <v>0</v>
      </c>
      <c r="J53" s="319">
        <f t="shared" si="2"/>
        <v>0</v>
      </c>
      <c r="K53" s="33">
        <f t="shared" si="11"/>
        <v>0</v>
      </c>
      <c r="L53" s="106">
        <f>SUM(L54:L65)</f>
        <v>0</v>
      </c>
    </row>
    <row r="54" spans="1:12" ht="12.75" customHeight="1">
      <c r="A54" s="295" t="s">
        <v>583</v>
      </c>
      <c r="B54" s="307"/>
      <c r="C54" s="214"/>
      <c r="D54" s="215"/>
      <c r="E54" s="215"/>
      <c r="F54" s="215"/>
      <c r="G54" s="215"/>
      <c r="H54" s="215"/>
      <c r="I54" s="347">
        <f t="shared" si="1"/>
        <v>0</v>
      </c>
      <c r="J54" s="347">
        <f t="shared" si="2"/>
        <v>0</v>
      </c>
      <c r="K54" s="215"/>
      <c r="L54" s="216"/>
    </row>
    <row r="55" spans="1:12" ht="12.75" customHeight="1">
      <c r="A55" s="295" t="s">
        <v>245</v>
      </c>
      <c r="B55" s="307"/>
      <c r="C55" s="214"/>
      <c r="D55" s="215"/>
      <c r="E55" s="215"/>
      <c r="F55" s="215"/>
      <c r="G55" s="215"/>
      <c r="H55" s="215"/>
      <c r="I55" s="347">
        <f t="shared" si="1"/>
        <v>0</v>
      </c>
      <c r="J55" s="347">
        <f t="shared" si="2"/>
        <v>0</v>
      </c>
      <c r="K55" s="215"/>
      <c r="L55" s="216"/>
    </row>
    <row r="56" spans="1:12" ht="12.75" customHeight="1">
      <c r="A56" s="295" t="s">
        <v>7</v>
      </c>
      <c r="B56" s="307"/>
      <c r="C56" s="214"/>
      <c r="D56" s="215"/>
      <c r="E56" s="215"/>
      <c r="F56" s="215"/>
      <c r="G56" s="215"/>
      <c r="H56" s="215"/>
      <c r="I56" s="347">
        <f t="shared" si="1"/>
        <v>0</v>
      </c>
      <c r="J56" s="347">
        <f t="shared" si="2"/>
        <v>0</v>
      </c>
      <c r="K56" s="215"/>
      <c r="L56" s="216"/>
    </row>
    <row r="57" spans="1:12" ht="12.75" customHeight="1">
      <c r="A57" s="295" t="s">
        <v>584</v>
      </c>
      <c r="B57" s="307"/>
      <c r="C57" s="214"/>
      <c r="D57" s="215"/>
      <c r="E57" s="215"/>
      <c r="F57" s="215"/>
      <c r="G57" s="215"/>
      <c r="H57" s="215"/>
      <c r="I57" s="347">
        <f t="shared" si="1"/>
        <v>0</v>
      </c>
      <c r="J57" s="347">
        <f t="shared" si="2"/>
        <v>0</v>
      </c>
      <c r="K57" s="215"/>
      <c r="L57" s="216"/>
    </row>
    <row r="58" spans="1:12" ht="12.75" customHeight="1">
      <c r="A58" s="295" t="s">
        <v>585</v>
      </c>
      <c r="B58" s="307"/>
      <c r="C58" s="214"/>
      <c r="D58" s="215"/>
      <c r="E58" s="215"/>
      <c r="F58" s="215"/>
      <c r="G58" s="215"/>
      <c r="H58" s="215"/>
      <c r="I58" s="347">
        <f t="shared" si="1"/>
        <v>0</v>
      </c>
      <c r="J58" s="347">
        <f t="shared" si="2"/>
        <v>0</v>
      </c>
      <c r="K58" s="215"/>
      <c r="L58" s="216"/>
    </row>
    <row r="59" spans="1:12" ht="12.75" customHeight="1">
      <c r="A59" s="295" t="s">
        <v>8</v>
      </c>
      <c r="B59" s="307"/>
      <c r="C59" s="214"/>
      <c r="D59" s="215"/>
      <c r="E59" s="215"/>
      <c r="F59" s="215"/>
      <c r="G59" s="215"/>
      <c r="H59" s="215"/>
      <c r="I59" s="347">
        <f t="shared" si="1"/>
        <v>0</v>
      </c>
      <c r="J59" s="347">
        <f t="shared" si="2"/>
        <v>0</v>
      </c>
      <c r="K59" s="215"/>
      <c r="L59" s="216"/>
    </row>
    <row r="60" spans="1:12" ht="12.75" customHeight="1">
      <c r="A60" s="295" t="s">
        <v>9</v>
      </c>
      <c r="B60" s="307"/>
      <c r="C60" s="214"/>
      <c r="D60" s="215"/>
      <c r="E60" s="215"/>
      <c r="F60" s="215"/>
      <c r="G60" s="215"/>
      <c r="H60" s="215"/>
      <c r="I60" s="347">
        <f t="shared" si="1"/>
        <v>0</v>
      </c>
      <c r="J60" s="347">
        <f t="shared" si="2"/>
        <v>0</v>
      </c>
      <c r="K60" s="215"/>
      <c r="L60" s="216"/>
    </row>
    <row r="61" spans="1:12" ht="12.75" customHeight="1">
      <c r="A61" s="295" t="s">
        <v>132</v>
      </c>
      <c r="B61" s="307"/>
      <c r="C61" s="214"/>
      <c r="D61" s="215"/>
      <c r="E61" s="215"/>
      <c r="F61" s="215"/>
      <c r="G61" s="215"/>
      <c r="H61" s="215"/>
      <c r="I61" s="347">
        <f t="shared" si="1"/>
        <v>0</v>
      </c>
      <c r="J61" s="347">
        <f t="shared" si="2"/>
        <v>0</v>
      </c>
      <c r="K61" s="215"/>
      <c r="L61" s="216"/>
    </row>
    <row r="62" spans="1:12" ht="12.75" customHeight="1">
      <c r="A62" s="295" t="s">
        <v>586</v>
      </c>
      <c r="B62" s="307"/>
      <c r="C62" s="214"/>
      <c r="D62" s="215"/>
      <c r="E62" s="215"/>
      <c r="F62" s="215"/>
      <c r="G62" s="215"/>
      <c r="H62" s="215"/>
      <c r="I62" s="347">
        <f t="shared" si="1"/>
        <v>0</v>
      </c>
      <c r="J62" s="347">
        <f t="shared" si="2"/>
        <v>0</v>
      </c>
      <c r="K62" s="215"/>
      <c r="L62" s="216"/>
    </row>
    <row r="63" spans="1:12" ht="12.75" customHeight="1">
      <c r="A63" s="295" t="s">
        <v>587</v>
      </c>
      <c r="B63" s="307"/>
      <c r="C63" s="214"/>
      <c r="D63" s="215"/>
      <c r="E63" s="215"/>
      <c r="F63" s="215"/>
      <c r="G63" s="215"/>
      <c r="H63" s="215"/>
      <c r="I63" s="347">
        <f t="shared" si="1"/>
        <v>0</v>
      </c>
      <c r="J63" s="347">
        <f t="shared" si="2"/>
        <v>0</v>
      </c>
      <c r="K63" s="215"/>
      <c r="L63" s="216"/>
    </row>
    <row r="64" spans="1:12" ht="12.75" customHeight="1">
      <c r="A64" s="295" t="s">
        <v>588</v>
      </c>
      <c r="B64" s="307"/>
      <c r="C64" s="214"/>
      <c r="D64" s="215"/>
      <c r="E64" s="215"/>
      <c r="F64" s="215"/>
      <c r="G64" s="215"/>
      <c r="H64" s="215"/>
      <c r="I64" s="347">
        <f t="shared" si="1"/>
        <v>0</v>
      </c>
      <c r="J64" s="347">
        <f t="shared" si="2"/>
        <v>0</v>
      </c>
      <c r="K64" s="215"/>
      <c r="L64" s="216"/>
    </row>
    <row r="65" spans="1:24" ht="12.75" customHeight="1">
      <c r="A65" s="26" t="s">
        <v>246</v>
      </c>
      <c r="B65" s="307"/>
      <c r="C65" s="214"/>
      <c r="D65" s="215"/>
      <c r="E65" s="215"/>
      <c r="F65" s="215"/>
      <c r="G65" s="215"/>
      <c r="H65" s="215"/>
      <c r="I65" s="347">
        <f t="shared" si="1"/>
        <v>0</v>
      </c>
      <c r="J65" s="347">
        <f t="shared" si="2"/>
        <v>0</v>
      </c>
      <c r="K65" s="215"/>
      <c r="L65" s="216"/>
    </row>
    <row r="66" spans="1:24" ht="5.0999999999999996" customHeight="1">
      <c r="A66" s="299"/>
      <c r="B66" s="308"/>
      <c r="C66" s="30"/>
      <c r="D66" s="29"/>
      <c r="E66" s="29"/>
      <c r="F66" s="29"/>
      <c r="G66" s="29"/>
      <c r="H66" s="29"/>
      <c r="I66" s="243">
        <f t="shared" si="1"/>
        <v>0</v>
      </c>
      <c r="J66" s="243">
        <f t="shared" si="2"/>
        <v>0</v>
      </c>
      <c r="K66" s="29"/>
      <c r="L66" s="87"/>
    </row>
    <row r="67" spans="1:24" ht="17.25" customHeight="1">
      <c r="A67" s="293" t="s">
        <v>312</v>
      </c>
      <c r="B67" s="308"/>
      <c r="C67" s="30">
        <f>SUM(C68:C69)</f>
        <v>0</v>
      </c>
      <c r="D67" s="29">
        <f t="shared" ref="D67:K67" si="12">SUM(D68:D69)</f>
        <v>0</v>
      </c>
      <c r="E67" s="29">
        <f t="shared" si="12"/>
        <v>0</v>
      </c>
      <c r="F67" s="29">
        <f t="shared" si="12"/>
        <v>0</v>
      </c>
      <c r="G67" s="29">
        <f t="shared" si="12"/>
        <v>0</v>
      </c>
      <c r="H67" s="29">
        <f t="shared" si="12"/>
        <v>0</v>
      </c>
      <c r="I67" s="243">
        <f t="shared" si="1"/>
        <v>0</v>
      </c>
      <c r="J67" s="243">
        <f t="shared" si="2"/>
        <v>0</v>
      </c>
      <c r="K67" s="29">
        <f t="shared" si="12"/>
        <v>0</v>
      </c>
      <c r="L67" s="87">
        <f>SUM(L68:L69)</f>
        <v>0</v>
      </c>
    </row>
    <row r="68" spans="1:24" ht="11.25" customHeight="1">
      <c r="A68" s="300" t="s">
        <v>327</v>
      </c>
      <c r="B68" s="308"/>
      <c r="C68" s="280"/>
      <c r="D68" s="281"/>
      <c r="E68" s="281"/>
      <c r="F68" s="281"/>
      <c r="G68" s="281"/>
      <c r="H68" s="281"/>
      <c r="I68" s="339">
        <f t="shared" si="1"/>
        <v>0</v>
      </c>
      <c r="J68" s="339">
        <f t="shared" si="2"/>
        <v>0</v>
      </c>
      <c r="K68" s="281"/>
      <c r="L68" s="330"/>
    </row>
    <row r="69" spans="1:24" ht="11.25" customHeight="1">
      <c r="A69" s="300"/>
      <c r="B69" s="308"/>
      <c r="C69" s="217"/>
      <c r="D69" s="218"/>
      <c r="E69" s="218"/>
      <c r="F69" s="218"/>
      <c r="G69" s="218"/>
      <c r="H69" s="218"/>
      <c r="I69" s="357">
        <f t="shared" si="1"/>
        <v>0</v>
      </c>
      <c r="J69" s="357">
        <f t="shared" si="2"/>
        <v>0</v>
      </c>
      <c r="K69" s="218"/>
      <c r="L69" s="219"/>
    </row>
    <row r="70" spans="1:24" ht="5.0999999999999996" customHeight="1">
      <c r="A70" s="299"/>
      <c r="B70" s="308"/>
      <c r="C70" s="30"/>
      <c r="D70" s="29"/>
      <c r="E70" s="29"/>
      <c r="F70" s="29"/>
      <c r="G70" s="29"/>
      <c r="H70" s="29"/>
      <c r="I70" s="243">
        <f t="shared" si="1"/>
        <v>0</v>
      </c>
      <c r="J70" s="243">
        <f t="shared" si="2"/>
        <v>0</v>
      </c>
      <c r="K70" s="29"/>
      <c r="L70" s="87"/>
    </row>
    <row r="71" spans="1:24" ht="17.25" customHeight="1">
      <c r="A71" s="293" t="s">
        <v>28</v>
      </c>
      <c r="B71" s="308"/>
      <c r="C71" s="30">
        <f>SUM(C72:C73)</f>
        <v>0</v>
      </c>
      <c r="D71" s="29">
        <f t="shared" ref="D71:K71" si="13">SUM(D72:D73)</f>
        <v>0</v>
      </c>
      <c r="E71" s="29">
        <f t="shared" si="13"/>
        <v>0</v>
      </c>
      <c r="F71" s="29">
        <f t="shared" si="13"/>
        <v>0</v>
      </c>
      <c r="G71" s="29">
        <f t="shared" si="13"/>
        <v>0</v>
      </c>
      <c r="H71" s="29">
        <f t="shared" si="13"/>
        <v>0</v>
      </c>
      <c r="I71" s="243">
        <f t="shared" si="1"/>
        <v>0</v>
      </c>
      <c r="J71" s="243">
        <f t="shared" si="2"/>
        <v>0</v>
      </c>
      <c r="K71" s="29">
        <f t="shared" si="13"/>
        <v>0</v>
      </c>
      <c r="L71" s="87">
        <f>SUM(L72:L73)</f>
        <v>0</v>
      </c>
    </row>
    <row r="72" spans="1:24" ht="11.25" customHeight="1">
      <c r="A72" s="300" t="s">
        <v>327</v>
      </c>
      <c r="B72" s="308"/>
      <c r="C72" s="280"/>
      <c r="D72" s="281"/>
      <c r="E72" s="281"/>
      <c r="F72" s="281"/>
      <c r="G72" s="281"/>
      <c r="H72" s="281"/>
      <c r="I72" s="339">
        <f t="shared" ref="I72:I85" si="14">SUM(E72:H72)</f>
        <v>0</v>
      </c>
      <c r="J72" s="339">
        <f t="shared" ref="J72:J85" si="15">IF(D72=0,C72+I72,D72+I72)</f>
        <v>0</v>
      </c>
      <c r="K72" s="281"/>
      <c r="L72" s="330"/>
    </row>
    <row r="73" spans="1:24" ht="11.25" customHeight="1">
      <c r="A73" s="300"/>
      <c r="B73" s="308"/>
      <c r="C73" s="217"/>
      <c r="D73" s="218"/>
      <c r="E73" s="218"/>
      <c r="F73" s="218"/>
      <c r="G73" s="218"/>
      <c r="H73" s="218"/>
      <c r="I73" s="357">
        <f t="shared" si="14"/>
        <v>0</v>
      </c>
      <c r="J73" s="357">
        <f t="shared" si="15"/>
        <v>0</v>
      </c>
      <c r="K73" s="218"/>
      <c r="L73" s="219"/>
    </row>
    <row r="74" spans="1:24" ht="5.0999999999999996" customHeight="1">
      <c r="A74" s="27"/>
      <c r="B74" s="307"/>
      <c r="C74" s="30"/>
      <c r="D74" s="29"/>
      <c r="E74" s="29"/>
      <c r="F74" s="29"/>
      <c r="G74" s="29"/>
      <c r="H74" s="29"/>
      <c r="I74" s="243">
        <f t="shared" si="14"/>
        <v>0</v>
      </c>
      <c r="J74" s="243">
        <f t="shared" si="15"/>
        <v>0</v>
      </c>
      <c r="K74" s="29"/>
      <c r="L74" s="87"/>
    </row>
    <row r="75" spans="1:24" ht="17.25" customHeight="1">
      <c r="A75" s="293" t="s">
        <v>55</v>
      </c>
      <c r="B75" s="308"/>
      <c r="C75" s="30">
        <f>SUM(C76:C77)</f>
        <v>0</v>
      </c>
      <c r="D75" s="29">
        <f t="shared" ref="D75:K75" si="16">SUM(D76:D77)</f>
        <v>0</v>
      </c>
      <c r="E75" s="29">
        <f t="shared" si="16"/>
        <v>0</v>
      </c>
      <c r="F75" s="29">
        <f t="shared" si="16"/>
        <v>0</v>
      </c>
      <c r="G75" s="29">
        <f t="shared" si="16"/>
        <v>0</v>
      </c>
      <c r="H75" s="29">
        <f t="shared" si="16"/>
        <v>0</v>
      </c>
      <c r="I75" s="243">
        <f t="shared" si="14"/>
        <v>0</v>
      </c>
      <c r="J75" s="243">
        <f t="shared" si="15"/>
        <v>0</v>
      </c>
      <c r="K75" s="29">
        <f t="shared" si="16"/>
        <v>0</v>
      </c>
      <c r="L75" s="87">
        <f>SUM(L76:L77)</f>
        <v>0</v>
      </c>
    </row>
    <row r="76" spans="1:24" ht="11.25" customHeight="1">
      <c r="A76" s="295" t="s">
        <v>171</v>
      </c>
      <c r="B76" s="308"/>
      <c r="C76" s="280"/>
      <c r="D76" s="281"/>
      <c r="E76" s="281"/>
      <c r="F76" s="281"/>
      <c r="G76" s="281"/>
      <c r="H76" s="281"/>
      <c r="I76" s="339">
        <f t="shared" si="14"/>
        <v>0</v>
      </c>
      <c r="J76" s="339">
        <f t="shared" si="15"/>
        <v>0</v>
      </c>
      <c r="K76" s="281"/>
      <c r="L76" s="330"/>
    </row>
    <row r="77" spans="1:24" ht="11.25" customHeight="1">
      <c r="A77" s="301" t="s">
        <v>589</v>
      </c>
      <c r="B77" s="308"/>
      <c r="C77" s="217"/>
      <c r="D77" s="218"/>
      <c r="E77" s="218"/>
      <c r="F77" s="218"/>
      <c r="G77" s="218"/>
      <c r="H77" s="218"/>
      <c r="I77" s="357">
        <f t="shared" si="14"/>
        <v>0</v>
      </c>
      <c r="J77" s="357">
        <f t="shared" si="15"/>
        <v>0</v>
      </c>
      <c r="K77" s="218"/>
      <c r="L77" s="219"/>
    </row>
    <row r="78" spans="1:24" ht="5.0999999999999996" customHeight="1">
      <c r="A78" s="298"/>
      <c r="B78" s="308"/>
      <c r="C78" s="34"/>
      <c r="D78" s="33"/>
      <c r="E78" s="33"/>
      <c r="F78" s="33"/>
      <c r="G78" s="33"/>
      <c r="H78" s="33"/>
      <c r="I78" s="319">
        <f t="shared" si="14"/>
        <v>0</v>
      </c>
      <c r="J78" s="319">
        <f t="shared" si="15"/>
        <v>0</v>
      </c>
      <c r="K78" s="33"/>
      <c r="L78" s="106"/>
    </row>
    <row r="79" spans="1:24" ht="12.75" customHeight="1">
      <c r="A79" s="382" t="s">
        <v>927</v>
      </c>
      <c r="B79" s="312">
        <v>1</v>
      </c>
      <c r="C79" s="37">
        <f>C8+C29+C45+C49+C53+C67+C71+C75</f>
        <v>0</v>
      </c>
      <c r="D79" s="36">
        <f t="shared" ref="D79:K79" si="17">D8+D29+D45+D49+D53+D67+D71+D75</f>
        <v>0</v>
      </c>
      <c r="E79" s="36">
        <f t="shared" si="17"/>
        <v>0</v>
      </c>
      <c r="F79" s="36">
        <f t="shared" si="17"/>
        <v>0</v>
      </c>
      <c r="G79" s="36">
        <f t="shared" si="17"/>
        <v>0</v>
      </c>
      <c r="H79" s="36">
        <f t="shared" si="17"/>
        <v>0</v>
      </c>
      <c r="I79" s="331">
        <f t="shared" si="14"/>
        <v>0</v>
      </c>
      <c r="J79" s="331">
        <f t="shared" si="15"/>
        <v>0</v>
      </c>
      <c r="K79" s="36">
        <f t="shared" si="17"/>
        <v>0</v>
      </c>
      <c r="L79" s="115">
        <f>L8+L29+L45+L49+L53+L67+L71+L75</f>
        <v>0</v>
      </c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</row>
    <row r="80" spans="1:24" ht="12.7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</row>
    <row r="81" spans="1:23" ht="12.75" customHeight="1">
      <c r="A81" s="303" t="s">
        <v>245</v>
      </c>
      <c r="B81" s="302"/>
      <c r="C81" s="304">
        <f t="shared" ref="C81:K81" si="18">SUM(C82:C85)</f>
        <v>0</v>
      </c>
      <c r="D81" s="305">
        <f t="shared" si="18"/>
        <v>0</v>
      </c>
      <c r="E81" s="305">
        <f t="shared" si="18"/>
        <v>0</v>
      </c>
      <c r="F81" s="305">
        <f t="shared" si="18"/>
        <v>0</v>
      </c>
      <c r="G81" s="305">
        <f t="shared" si="18"/>
        <v>0</v>
      </c>
      <c r="H81" s="305">
        <f t="shared" si="18"/>
        <v>0</v>
      </c>
      <c r="I81" s="332">
        <f t="shared" si="14"/>
        <v>0</v>
      </c>
      <c r="J81" s="332">
        <f t="shared" si="15"/>
        <v>0</v>
      </c>
      <c r="K81" s="305">
        <f t="shared" si="18"/>
        <v>0</v>
      </c>
      <c r="L81" s="306">
        <f>SUM(L82:L85)</f>
        <v>0</v>
      </c>
    </row>
    <row r="82" spans="1:23" ht="12.75" customHeight="1">
      <c r="A82" s="26" t="s">
        <v>96</v>
      </c>
      <c r="B82" s="307"/>
      <c r="C82" s="214"/>
      <c r="D82" s="215"/>
      <c r="E82" s="215"/>
      <c r="F82" s="215"/>
      <c r="G82" s="215"/>
      <c r="H82" s="215"/>
      <c r="I82" s="347">
        <f t="shared" si="14"/>
        <v>0</v>
      </c>
      <c r="J82" s="347">
        <f t="shared" si="15"/>
        <v>0</v>
      </c>
      <c r="K82" s="215"/>
      <c r="L82" s="216"/>
    </row>
    <row r="83" spans="1:23" ht="12.75" customHeight="1">
      <c r="A83" s="26" t="s">
        <v>133</v>
      </c>
      <c r="B83" s="307"/>
      <c r="C83" s="214"/>
      <c r="D83" s="215"/>
      <c r="E83" s="215"/>
      <c r="F83" s="215"/>
      <c r="G83" s="215"/>
      <c r="H83" s="215"/>
      <c r="I83" s="347">
        <f t="shared" si="14"/>
        <v>0</v>
      </c>
      <c r="J83" s="347">
        <f t="shared" si="15"/>
        <v>0</v>
      </c>
      <c r="K83" s="215"/>
      <c r="L83" s="216"/>
    </row>
    <row r="84" spans="1:23" ht="12.75" customHeight="1">
      <c r="A84" s="26" t="s">
        <v>134</v>
      </c>
      <c r="B84" s="307"/>
      <c r="C84" s="214"/>
      <c r="D84" s="215"/>
      <c r="E84" s="215"/>
      <c r="F84" s="215"/>
      <c r="G84" s="215"/>
      <c r="H84" s="215"/>
      <c r="I84" s="347">
        <f t="shared" si="14"/>
        <v>0</v>
      </c>
      <c r="J84" s="347">
        <f t="shared" si="15"/>
        <v>0</v>
      </c>
      <c r="K84" s="215"/>
      <c r="L84" s="216"/>
    </row>
    <row r="85" spans="1:23" ht="12.75" customHeight="1">
      <c r="A85" s="82" t="s">
        <v>135</v>
      </c>
      <c r="B85" s="325"/>
      <c r="C85" s="234"/>
      <c r="D85" s="235"/>
      <c r="E85" s="235"/>
      <c r="F85" s="235"/>
      <c r="G85" s="235"/>
      <c r="H85" s="235"/>
      <c r="I85" s="358">
        <f t="shared" si="14"/>
        <v>0</v>
      </c>
      <c r="J85" s="358">
        <f t="shared" si="15"/>
        <v>0</v>
      </c>
      <c r="K85" s="235"/>
      <c r="L85" s="238"/>
    </row>
    <row r="86" spans="1:23" ht="12.75" customHeight="1">
      <c r="A86" s="42"/>
      <c r="B86" s="39"/>
      <c r="C86" s="32"/>
      <c r="D86" s="32"/>
      <c r="E86" s="32"/>
      <c r="F86" s="32"/>
      <c r="G86" s="32"/>
      <c r="H86" s="32"/>
      <c r="I86" s="32"/>
      <c r="J86" s="32"/>
      <c r="K86" s="32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</row>
    <row r="87" spans="1:23" ht="12.75" customHeight="1">
      <c r="A87" s="38" t="str">
        <f>head27a</f>
        <v>References</v>
      </c>
      <c r="B87" s="39"/>
      <c r="C87" s="43"/>
      <c r="D87" s="43"/>
      <c r="E87" s="43"/>
      <c r="F87" s="43"/>
      <c r="G87" s="43"/>
      <c r="H87" s="43"/>
      <c r="I87" s="43"/>
      <c r="J87" s="43"/>
      <c r="K87" s="43"/>
    </row>
    <row r="88" spans="1:23" ht="12.75" customHeight="1">
      <c r="A88" s="54" t="s">
        <v>590</v>
      </c>
      <c r="B88" s="39"/>
      <c r="C88" s="42"/>
      <c r="D88" s="42"/>
      <c r="E88" s="43"/>
      <c r="F88" s="43"/>
      <c r="G88" s="43"/>
      <c r="H88" s="43"/>
      <c r="I88" s="43"/>
      <c r="J88" s="43"/>
      <c r="K88" s="43"/>
    </row>
    <row r="89" spans="1:23" ht="11.25" customHeight="1">
      <c r="A89" s="47"/>
      <c r="B89" s="39"/>
      <c r="C89" s="42"/>
      <c r="D89" s="42"/>
      <c r="E89" s="43"/>
      <c r="F89" s="43"/>
      <c r="G89" s="43"/>
      <c r="H89" s="43"/>
      <c r="I89" s="43"/>
      <c r="J89" s="43"/>
      <c r="K89" s="43"/>
    </row>
    <row r="90" spans="1:23" ht="11.25" customHeight="1">
      <c r="A90" s="56"/>
      <c r="B90" s="44"/>
      <c r="C90" s="73"/>
      <c r="D90" s="73"/>
      <c r="E90" s="73"/>
      <c r="F90" s="73"/>
      <c r="G90" s="73"/>
      <c r="H90" s="73"/>
      <c r="I90" s="73"/>
      <c r="J90" s="73"/>
      <c r="K90" s="73"/>
    </row>
    <row r="91" spans="1:23" ht="11.25" customHeight="1"/>
    <row r="92" spans="1:23" ht="11.25" customHeight="1"/>
    <row r="93" spans="1:23" ht="11.25" customHeight="1"/>
    <row r="94" spans="1:23" ht="11.25" customHeight="1"/>
    <row r="95" spans="1:23" ht="11.25" customHeight="1"/>
    <row r="96" spans="1:23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</sheetData>
  <mergeCells count="3">
    <mergeCell ref="A2:A3"/>
    <mergeCell ref="B2:B3"/>
    <mergeCell ref="C2:J2"/>
  </mergeCells>
  <phoneticPr fontId="2" type="noConversion"/>
  <dataValidations count="1">
    <dataValidation type="whole" allowBlank="1" showInputMessage="1" showErrorMessage="1" sqref="C10:H11 K10:L11 C13:H15 K13:L15 C17:H19 K17:L19 C21:H22 K21:L22 C24:H28 K24:L27 C30:H43 K30:L43 C46:H47 K46:L47 C50:H51 K50:L51 C54:H65 K54:L65 C68:H69 K68:L69 C72:H73 K72:L73 C76:H77 K76:L77 C82:H85 K82:L85">
      <formula1>-99999999999</formula1>
      <formula2>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6" enableFormatConditionsCalculation="0">
    <tabColor rgb="FFC4FCDF"/>
  </sheetPr>
  <dimension ref="A1:N118"/>
  <sheetViews>
    <sheetView showGridLines="0" workbookViewId="0">
      <pane xSplit="2" ySplit="4" topLeftCell="F5" activePane="bottomRight" state="frozen"/>
      <selection pane="topRight"/>
      <selection pane="bottomLeft"/>
      <selection pane="bottomRight"/>
    </sheetView>
  </sheetViews>
  <sheetFormatPr defaultRowHeight="12.75"/>
  <cols>
    <col min="1" max="1" width="25.7109375" style="20" customWidth="1"/>
    <col min="2" max="2" width="3.140625" style="48" customWidth="1"/>
    <col min="3" max="3" width="25.7109375" style="20" customWidth="1"/>
    <col min="4" max="4" width="6.140625" style="20" bestFit="1" customWidth="1"/>
    <col min="5" max="5" width="4.42578125" style="20" customWidth="1"/>
    <col min="6" max="7" width="20.7109375" style="20" customWidth="1"/>
    <col min="8" max="8" width="7.85546875" style="20" bestFit="1" customWidth="1"/>
    <col min="9" max="12" width="8.7109375" style="20" customWidth="1"/>
    <col min="13" max="13" width="15.7109375" style="20" customWidth="1"/>
    <col min="14" max="14" width="7.42578125" style="20" bestFit="1" customWidth="1"/>
    <col min="15" max="15" width="9.85546875" style="20" customWidth="1"/>
    <col min="16" max="16" width="9.5703125" style="20" customWidth="1"/>
    <col min="17" max="17" width="9.85546875" style="20" customWidth="1"/>
    <col min="18" max="20" width="9.5703125" style="20" customWidth="1"/>
    <col min="21" max="21" width="9.85546875" style="20" customWidth="1"/>
    <col min="22" max="24" width="9.5703125" style="20" customWidth="1"/>
    <col min="25" max="26" width="9.85546875" style="20" customWidth="1"/>
    <col min="27" max="16384" width="9.140625" style="20"/>
  </cols>
  <sheetData>
    <row r="1" spans="1:14" ht="13.5">
      <c r="A1" s="91" t="str">
        <f>MEAB11&amp;" - "&amp;Date</f>
        <v xml:space="preserve"> - Supporting Table SE7   List of capital programmes and projects affected by Adjustments Budget - </v>
      </c>
    </row>
    <row r="2" spans="1:14" ht="25.5">
      <c r="A2" s="440" t="s">
        <v>204</v>
      </c>
      <c r="B2" s="446" t="str">
        <f>head27</f>
        <v>Ref</v>
      </c>
      <c r="C2" s="453" t="s">
        <v>395</v>
      </c>
      <c r="D2" s="454" t="s">
        <v>167</v>
      </c>
      <c r="E2" s="454" t="s">
        <v>933</v>
      </c>
      <c r="F2" s="457" t="s">
        <v>181</v>
      </c>
      <c r="G2" s="448" t="s">
        <v>290</v>
      </c>
      <c r="H2" s="446" t="s">
        <v>396</v>
      </c>
      <c r="I2" s="112" t="str">
        <f ca="1">Head3</f>
        <v>2014/15 Medium Term Revenue &amp; Expenditure Framework</v>
      </c>
      <c r="J2" s="110"/>
      <c r="K2" s="110"/>
      <c r="L2" s="111"/>
      <c r="M2" s="112" t="s">
        <v>169</v>
      </c>
      <c r="N2" s="111"/>
    </row>
    <row r="3" spans="1:14" ht="12.75" customHeight="1">
      <c r="A3" s="452"/>
      <c r="B3" s="447"/>
      <c r="C3" s="453"/>
      <c r="D3" s="455"/>
      <c r="E3" s="455"/>
      <c r="F3" s="441"/>
      <c r="G3" s="449"/>
      <c r="H3" s="447"/>
      <c r="I3" s="459" t="str">
        <f ca="1">Head9</f>
        <v>Budget Year 2014/15</v>
      </c>
      <c r="J3" s="460" t="str">
        <f>Head7</f>
        <v>Adjusted Budget</v>
      </c>
      <c r="K3" s="460" t="str">
        <f ca="1">Head10</f>
        <v>Budget Year +1 2015/16</v>
      </c>
      <c r="L3" s="461" t="str">
        <f ca="1">Head11</f>
        <v>Budget Year +2 2016/17</v>
      </c>
      <c r="M3" s="459" t="s">
        <v>170</v>
      </c>
      <c r="N3" s="462" t="s">
        <v>168</v>
      </c>
    </row>
    <row r="4" spans="1:14" ht="13.5" customHeight="1">
      <c r="A4" s="160" t="s">
        <v>199</v>
      </c>
      <c r="B4" s="161"/>
      <c r="C4" s="437"/>
      <c r="D4" s="456"/>
      <c r="E4" s="458"/>
      <c r="F4" s="442"/>
      <c r="G4" s="450"/>
      <c r="H4" s="451"/>
      <c r="I4" s="437"/>
      <c r="J4" s="456"/>
      <c r="K4" s="456"/>
      <c r="L4" s="439"/>
      <c r="M4" s="437"/>
      <c r="N4" s="450"/>
    </row>
    <row r="5" spans="1:14" ht="12.75" customHeight="1">
      <c r="A5" s="170"/>
      <c r="B5" s="96"/>
      <c r="C5" s="186"/>
      <c r="D5" s="187"/>
      <c r="E5" s="187"/>
      <c r="F5" s="188"/>
      <c r="G5" s="171"/>
      <c r="H5" s="95"/>
      <c r="I5" s="25"/>
      <c r="J5" s="24"/>
      <c r="K5" s="24"/>
      <c r="L5" s="109"/>
      <c r="M5" s="25"/>
      <c r="N5" s="109"/>
    </row>
    <row r="6" spans="1:14" ht="12.75" customHeight="1">
      <c r="A6" s="244" t="s">
        <v>932</v>
      </c>
      <c r="B6" s="260">
        <v>3</v>
      </c>
      <c r="C6" s="245"/>
      <c r="D6" s="246"/>
      <c r="E6" s="246"/>
      <c r="F6" s="247"/>
      <c r="G6" s="248"/>
      <c r="H6" s="249"/>
      <c r="I6" s="245"/>
      <c r="J6" s="250"/>
      <c r="K6" s="250"/>
      <c r="L6" s="251"/>
      <c r="M6" s="245"/>
      <c r="N6" s="251"/>
    </row>
    <row r="7" spans="1:14" ht="12.75" customHeight="1">
      <c r="A7" s="252"/>
      <c r="B7" s="260"/>
      <c r="C7" s="245"/>
      <c r="D7" s="246"/>
      <c r="E7" s="246"/>
      <c r="F7" s="247"/>
      <c r="G7" s="248"/>
      <c r="H7" s="253"/>
      <c r="I7" s="254"/>
      <c r="J7" s="255"/>
      <c r="K7" s="255"/>
      <c r="L7" s="256"/>
      <c r="M7" s="254"/>
      <c r="N7" s="256"/>
    </row>
    <row r="8" spans="1:14" ht="12.75" customHeight="1">
      <c r="A8" s="221"/>
      <c r="B8" s="260"/>
      <c r="C8" s="254"/>
      <c r="D8" s="257"/>
      <c r="E8" s="257"/>
      <c r="F8" s="255"/>
      <c r="G8" s="256"/>
      <c r="H8" s="253"/>
      <c r="I8" s="254"/>
      <c r="J8" s="255"/>
      <c r="K8" s="255"/>
      <c r="L8" s="256"/>
      <c r="M8" s="254"/>
      <c r="N8" s="256"/>
    </row>
    <row r="9" spans="1:14" ht="12.75" customHeight="1">
      <c r="A9" s="221"/>
      <c r="B9" s="260"/>
      <c r="C9" s="254"/>
      <c r="D9" s="257"/>
      <c r="E9" s="257"/>
      <c r="F9" s="255"/>
      <c r="G9" s="256"/>
      <c r="H9" s="253"/>
      <c r="I9" s="254"/>
      <c r="J9" s="255"/>
      <c r="K9" s="255"/>
      <c r="L9" s="256"/>
      <c r="M9" s="254"/>
      <c r="N9" s="256"/>
    </row>
    <row r="10" spans="1:14" ht="12.75" customHeight="1">
      <c r="A10" s="221"/>
      <c r="B10" s="260"/>
      <c r="C10" s="254"/>
      <c r="D10" s="257"/>
      <c r="E10" s="257"/>
      <c r="F10" s="255"/>
      <c r="G10" s="256"/>
      <c r="H10" s="253"/>
      <c r="I10" s="254"/>
      <c r="J10" s="255"/>
      <c r="K10" s="255"/>
      <c r="L10" s="256"/>
      <c r="M10" s="254"/>
      <c r="N10" s="256"/>
    </row>
    <row r="11" spans="1:14" ht="12.75" customHeight="1">
      <c r="A11" s="258"/>
      <c r="B11" s="260"/>
      <c r="C11" s="254"/>
      <c r="D11" s="257"/>
      <c r="E11" s="257"/>
      <c r="F11" s="255"/>
      <c r="G11" s="256"/>
      <c r="H11" s="253"/>
      <c r="I11" s="254"/>
      <c r="J11" s="255"/>
      <c r="K11" s="255"/>
      <c r="L11" s="256"/>
      <c r="M11" s="254"/>
      <c r="N11" s="256"/>
    </row>
    <row r="12" spans="1:14" ht="12.75" customHeight="1">
      <c r="A12" s="221"/>
      <c r="B12" s="260"/>
      <c r="C12" s="254"/>
      <c r="D12" s="257"/>
      <c r="E12" s="257"/>
      <c r="F12" s="255"/>
      <c r="G12" s="256"/>
      <c r="H12" s="253"/>
      <c r="I12" s="254"/>
      <c r="J12" s="255"/>
      <c r="K12" s="255"/>
      <c r="L12" s="256"/>
      <c r="M12" s="254"/>
      <c r="N12" s="256"/>
    </row>
    <row r="13" spans="1:14" ht="12.75" customHeight="1">
      <c r="A13" s="221"/>
      <c r="B13" s="260"/>
      <c r="C13" s="254"/>
      <c r="D13" s="257"/>
      <c r="E13" s="257"/>
      <c r="F13" s="255"/>
      <c r="G13" s="256"/>
      <c r="H13" s="253"/>
      <c r="I13" s="254"/>
      <c r="J13" s="255"/>
      <c r="K13" s="255"/>
      <c r="L13" s="256"/>
      <c r="M13" s="254"/>
      <c r="N13" s="256"/>
    </row>
    <row r="14" spans="1:14" ht="12.75" customHeight="1">
      <c r="A14" s="221"/>
      <c r="B14" s="260"/>
      <c r="C14" s="254"/>
      <c r="D14" s="257"/>
      <c r="E14" s="257"/>
      <c r="F14" s="255"/>
      <c r="G14" s="256"/>
      <c r="H14" s="253"/>
      <c r="I14" s="254"/>
      <c r="J14" s="255"/>
      <c r="K14" s="255"/>
      <c r="L14" s="256"/>
      <c r="M14" s="254"/>
      <c r="N14" s="256"/>
    </row>
    <row r="15" spans="1:14" ht="12.75" customHeight="1">
      <c r="A15" s="221"/>
      <c r="B15" s="260"/>
      <c r="C15" s="254"/>
      <c r="D15" s="257"/>
      <c r="E15" s="257"/>
      <c r="F15" s="255"/>
      <c r="G15" s="256"/>
      <c r="H15" s="253"/>
      <c r="I15" s="254"/>
      <c r="J15" s="255"/>
      <c r="K15" s="255"/>
      <c r="L15" s="256"/>
      <c r="M15" s="254"/>
      <c r="N15" s="256"/>
    </row>
    <row r="16" spans="1:14" ht="12.75" customHeight="1">
      <c r="A16" s="258"/>
      <c r="B16" s="260"/>
      <c r="C16" s="254"/>
      <c r="D16" s="257"/>
      <c r="E16" s="257"/>
      <c r="F16" s="255"/>
      <c r="G16" s="256"/>
      <c r="H16" s="253"/>
      <c r="I16" s="254"/>
      <c r="J16" s="255"/>
      <c r="K16" s="255"/>
      <c r="L16" s="256"/>
      <c r="M16" s="254"/>
      <c r="N16" s="256"/>
    </row>
    <row r="17" spans="1:14" ht="12.75" customHeight="1">
      <c r="A17" s="221"/>
      <c r="B17" s="260"/>
      <c r="C17" s="254"/>
      <c r="D17" s="257"/>
      <c r="E17" s="257"/>
      <c r="F17" s="255"/>
      <c r="G17" s="256"/>
      <c r="H17" s="253"/>
      <c r="I17" s="254"/>
      <c r="J17" s="255"/>
      <c r="K17" s="255"/>
      <c r="L17" s="256"/>
      <c r="M17" s="254"/>
      <c r="N17" s="256"/>
    </row>
    <row r="18" spans="1:14" ht="12.75" customHeight="1">
      <c r="A18" s="221"/>
      <c r="B18" s="260"/>
      <c r="C18" s="254"/>
      <c r="D18" s="257"/>
      <c r="E18" s="257"/>
      <c r="F18" s="255"/>
      <c r="G18" s="256"/>
      <c r="H18" s="253"/>
      <c r="I18" s="254"/>
      <c r="J18" s="255"/>
      <c r="K18" s="255"/>
      <c r="L18" s="256"/>
      <c r="M18" s="254"/>
      <c r="N18" s="256"/>
    </row>
    <row r="19" spans="1:14" ht="12.75" customHeight="1">
      <c r="A19" s="258"/>
      <c r="B19" s="260"/>
      <c r="C19" s="254"/>
      <c r="D19" s="257"/>
      <c r="E19" s="257"/>
      <c r="F19" s="255"/>
      <c r="G19" s="256"/>
      <c r="H19" s="253"/>
      <c r="I19" s="254"/>
      <c r="J19" s="255"/>
      <c r="K19" s="255"/>
      <c r="L19" s="256"/>
      <c r="M19" s="254"/>
      <c r="N19" s="256"/>
    </row>
    <row r="20" spans="1:14" ht="12.75" customHeight="1">
      <c r="A20" s="221"/>
      <c r="B20" s="260"/>
      <c r="C20" s="254"/>
      <c r="D20" s="257"/>
      <c r="E20" s="257"/>
      <c r="F20" s="255"/>
      <c r="G20" s="256"/>
      <c r="H20" s="253"/>
      <c r="I20" s="254"/>
      <c r="J20" s="255"/>
      <c r="K20" s="255"/>
      <c r="L20" s="256"/>
      <c r="M20" s="254"/>
      <c r="N20" s="256"/>
    </row>
    <row r="21" spans="1:14" ht="12.75" customHeight="1">
      <c r="A21" s="221"/>
      <c r="B21" s="260"/>
      <c r="C21" s="254"/>
      <c r="D21" s="257"/>
      <c r="E21" s="257"/>
      <c r="F21" s="255"/>
      <c r="G21" s="256"/>
      <c r="H21" s="253"/>
      <c r="I21" s="254"/>
      <c r="J21" s="255"/>
      <c r="K21" s="255"/>
      <c r="L21" s="256"/>
      <c r="M21" s="254"/>
      <c r="N21" s="256"/>
    </row>
    <row r="22" spans="1:14" ht="12.75" customHeight="1">
      <c r="A22" s="221"/>
      <c r="B22" s="260"/>
      <c r="C22" s="254"/>
      <c r="D22" s="255"/>
      <c r="E22" s="255"/>
      <c r="F22" s="255"/>
      <c r="G22" s="256"/>
      <c r="H22" s="253"/>
      <c r="I22" s="254"/>
      <c r="J22" s="255"/>
      <c r="K22" s="255"/>
      <c r="L22" s="256"/>
      <c r="M22" s="254"/>
      <c r="N22" s="256"/>
    </row>
    <row r="23" spans="1:14" ht="12.75" customHeight="1">
      <c r="A23" s="35" t="s">
        <v>104</v>
      </c>
      <c r="B23" s="116">
        <v>1</v>
      </c>
      <c r="C23" s="387">
        <f>SUM(C7:C22)</f>
        <v>0</v>
      </c>
      <c r="D23" s="388"/>
      <c r="E23" s="388"/>
      <c r="F23" s="388"/>
      <c r="G23" s="389"/>
      <c r="H23" s="403">
        <f>SUM(H6:H22)</f>
        <v>0</v>
      </c>
      <c r="I23" s="37">
        <f>SUM(I6:I22)</f>
        <v>0</v>
      </c>
      <c r="J23" s="36">
        <f>SUM(J6:J22)</f>
        <v>0</v>
      </c>
      <c r="K23" s="36">
        <f>SUM(K6:K22)</f>
        <v>0</v>
      </c>
      <c r="L23" s="115">
        <f>SUM(L6:L22)</f>
        <v>0</v>
      </c>
      <c r="M23" s="387">
        <f>SUM(M7:M22)</f>
        <v>0</v>
      </c>
      <c r="N23" s="389">
        <f>SUM(N7:N22)</f>
        <v>0</v>
      </c>
    </row>
    <row r="24" spans="1:14" ht="12.75" customHeight="1">
      <c r="A24" s="38" t="str">
        <f>head27a</f>
        <v>References</v>
      </c>
      <c r="B24" s="20"/>
      <c r="C24" s="47"/>
    </row>
    <row r="25" spans="1:14" ht="12.75" customHeight="1">
      <c r="A25" s="54" t="s">
        <v>929</v>
      </c>
      <c r="B25" s="20"/>
    </row>
    <row r="26" spans="1:14" ht="12.75" customHeight="1">
      <c r="A26" s="54" t="s">
        <v>930</v>
      </c>
      <c r="B26" s="20"/>
    </row>
    <row r="27" spans="1:14" ht="12.75" customHeight="1">
      <c r="A27" s="54" t="s">
        <v>931</v>
      </c>
      <c r="B27" s="20"/>
    </row>
    <row r="28" spans="1:14" ht="11.25" customHeight="1">
      <c r="B28" s="20"/>
    </row>
    <row r="29" spans="1:14">
      <c r="B29" s="20"/>
    </row>
    <row r="30" spans="1:14" ht="11.25" customHeight="1">
      <c r="B30" s="20"/>
    </row>
    <row r="31" spans="1:14" ht="11.25" customHeight="1">
      <c r="B31" s="20"/>
    </row>
    <row r="32" spans="1:14" ht="11.25" customHeight="1">
      <c r="B32" s="20"/>
    </row>
    <row r="33" spans="2:2" ht="11.25" customHeight="1">
      <c r="B33" s="20"/>
    </row>
    <row r="34" spans="2:2" ht="11.25" customHeight="1">
      <c r="B34" s="20"/>
    </row>
    <row r="35" spans="2:2" ht="11.25" customHeight="1">
      <c r="B35" s="20"/>
    </row>
    <row r="36" spans="2:2" ht="11.25" customHeight="1">
      <c r="B36" s="20"/>
    </row>
    <row r="37" spans="2:2" ht="11.25" customHeight="1">
      <c r="B37" s="20"/>
    </row>
    <row r="38" spans="2:2" ht="11.25" customHeight="1">
      <c r="B38" s="20"/>
    </row>
    <row r="39" spans="2:2" ht="11.25" customHeight="1">
      <c r="B39" s="20"/>
    </row>
    <row r="40" spans="2:2" ht="11.25" customHeight="1">
      <c r="B40" s="20"/>
    </row>
    <row r="41" spans="2:2" ht="11.25" customHeight="1">
      <c r="B41" s="20"/>
    </row>
    <row r="42" spans="2:2" ht="11.25" customHeight="1">
      <c r="B42" s="20"/>
    </row>
    <row r="43" spans="2:2" ht="11.25" customHeight="1">
      <c r="B43" s="20"/>
    </row>
    <row r="44" spans="2:2" ht="11.25" customHeight="1">
      <c r="B44" s="20"/>
    </row>
    <row r="45" spans="2:2" ht="11.25" customHeight="1">
      <c r="B45" s="20"/>
    </row>
    <row r="46" spans="2:2" ht="11.25" customHeight="1">
      <c r="B46" s="20"/>
    </row>
    <row r="47" spans="2:2" ht="11.25" customHeight="1">
      <c r="B47" s="20"/>
    </row>
    <row r="48" spans="2:2" ht="11.25" customHeight="1">
      <c r="B48" s="20"/>
    </row>
    <row r="49" spans="2:2" ht="11.25" customHeight="1">
      <c r="B49" s="20"/>
    </row>
    <row r="50" spans="2:2" ht="11.25" customHeight="1">
      <c r="B50" s="20"/>
    </row>
    <row r="51" spans="2:2" ht="11.25" customHeight="1">
      <c r="B51" s="20"/>
    </row>
    <row r="52" spans="2:2" ht="11.25" customHeight="1">
      <c r="B52" s="20"/>
    </row>
    <row r="53" spans="2:2">
      <c r="B53" s="20"/>
    </row>
    <row r="54" spans="2:2">
      <c r="B54" s="20"/>
    </row>
    <row r="55" spans="2:2" ht="11.25" customHeight="1">
      <c r="B55" s="20"/>
    </row>
    <row r="56" spans="2:2" ht="22.5" customHeight="1">
      <c r="B56" s="20"/>
    </row>
    <row r="57" spans="2:2">
      <c r="B57" s="20"/>
    </row>
    <row r="58" spans="2:2">
      <c r="B58" s="20"/>
    </row>
    <row r="59" spans="2:2" ht="11.25" customHeight="1">
      <c r="B59" s="20"/>
    </row>
    <row r="60" spans="2:2" ht="11.25" customHeight="1">
      <c r="B60" s="20"/>
    </row>
    <row r="61" spans="2:2" ht="11.25" customHeight="1">
      <c r="B61" s="20"/>
    </row>
    <row r="62" spans="2:2" ht="11.25" customHeight="1">
      <c r="B62" s="20"/>
    </row>
    <row r="63" spans="2:2" ht="11.25" customHeight="1">
      <c r="B63" s="20"/>
    </row>
    <row r="64" spans="2:2" ht="11.25" customHeight="1">
      <c r="B64" s="20"/>
    </row>
    <row r="65" spans="2:2" ht="11.25" customHeight="1">
      <c r="B65" s="20"/>
    </row>
    <row r="66" spans="2:2" ht="11.25" customHeight="1">
      <c r="B66" s="20"/>
    </row>
    <row r="67" spans="2:2" ht="11.25" customHeight="1">
      <c r="B67" s="20"/>
    </row>
    <row r="68" spans="2:2" ht="11.25" customHeight="1">
      <c r="B68" s="20"/>
    </row>
    <row r="69" spans="2:2" ht="11.25" customHeight="1">
      <c r="B69" s="20"/>
    </row>
    <row r="70" spans="2:2" ht="11.25" customHeight="1">
      <c r="B70" s="20"/>
    </row>
    <row r="71" spans="2:2" ht="11.25" customHeight="1">
      <c r="B71" s="20"/>
    </row>
    <row r="72" spans="2:2" ht="11.25" customHeight="1">
      <c r="B72" s="20"/>
    </row>
    <row r="73" spans="2:2" ht="11.25" customHeight="1">
      <c r="B73" s="20"/>
    </row>
    <row r="74" spans="2:2" ht="11.25" customHeight="1">
      <c r="B74" s="20"/>
    </row>
    <row r="75" spans="2:2" ht="11.25" customHeight="1">
      <c r="B75" s="20"/>
    </row>
    <row r="76" spans="2:2" ht="11.25" customHeight="1">
      <c r="B76" s="20"/>
    </row>
    <row r="77" spans="2:2" ht="11.25" customHeight="1">
      <c r="B77" s="20"/>
    </row>
    <row r="78" spans="2:2" ht="11.25" customHeight="1">
      <c r="B78" s="20"/>
    </row>
    <row r="79" spans="2:2" ht="11.25" customHeight="1">
      <c r="B79" s="20"/>
    </row>
    <row r="80" spans="2:2" ht="11.25" customHeight="1">
      <c r="B80" s="20"/>
    </row>
    <row r="81" spans="2:2" ht="11.25" customHeight="1">
      <c r="B81" s="20"/>
    </row>
    <row r="82" spans="2:2" ht="11.25" customHeight="1">
      <c r="B82" s="20"/>
    </row>
    <row r="83" spans="2:2" ht="11.25" customHeight="1">
      <c r="B83" s="20"/>
    </row>
    <row r="84" spans="2:2" ht="11.25" customHeight="1">
      <c r="B84" s="20"/>
    </row>
    <row r="85" spans="2:2" ht="11.25" customHeight="1">
      <c r="B85" s="20"/>
    </row>
    <row r="86" spans="2:2" ht="11.25" customHeight="1">
      <c r="B86" s="20"/>
    </row>
    <row r="87" spans="2:2" ht="11.25" customHeight="1">
      <c r="B87" s="20"/>
    </row>
    <row r="88" spans="2:2" ht="11.25" customHeight="1">
      <c r="B88" s="20"/>
    </row>
    <row r="89" spans="2:2" ht="11.25" customHeight="1">
      <c r="B89" s="20"/>
    </row>
    <row r="90" spans="2:2" ht="11.25" customHeight="1">
      <c r="B90" s="20"/>
    </row>
    <row r="91" spans="2:2" ht="11.25" customHeight="1">
      <c r="B91" s="20"/>
    </row>
    <row r="92" spans="2:2" ht="11.25" customHeight="1">
      <c r="B92" s="20"/>
    </row>
    <row r="93" spans="2:2" ht="11.25" customHeight="1">
      <c r="B93" s="20"/>
    </row>
    <row r="94" spans="2:2" ht="11.25" customHeight="1">
      <c r="B94" s="20"/>
    </row>
    <row r="95" spans="2:2" ht="11.25" customHeight="1">
      <c r="B95" s="20"/>
    </row>
    <row r="96" spans="2:2">
      <c r="B96" s="20"/>
    </row>
    <row r="97" spans="2:2">
      <c r="B97" s="20"/>
    </row>
    <row r="98" spans="2:2">
      <c r="B98" s="20"/>
    </row>
    <row r="99" spans="2:2">
      <c r="B99" s="20"/>
    </row>
    <row r="100" spans="2:2">
      <c r="B100" s="20"/>
    </row>
    <row r="101" spans="2:2">
      <c r="B101" s="20"/>
    </row>
    <row r="102" spans="2:2">
      <c r="B102" s="20"/>
    </row>
    <row r="103" spans="2:2">
      <c r="B103" s="20"/>
    </row>
    <row r="104" spans="2:2">
      <c r="B104" s="20"/>
    </row>
    <row r="105" spans="2:2">
      <c r="B105" s="20"/>
    </row>
    <row r="106" spans="2:2">
      <c r="B106" s="20"/>
    </row>
    <row r="107" spans="2:2">
      <c r="B107" s="20"/>
    </row>
    <row r="108" spans="2:2">
      <c r="B108" s="20"/>
    </row>
    <row r="109" spans="2:2">
      <c r="B109" s="20"/>
    </row>
    <row r="110" spans="2:2">
      <c r="B110" s="20"/>
    </row>
    <row r="111" spans="2:2">
      <c r="B111" s="20"/>
    </row>
    <row r="112" spans="2:2">
      <c r="B112" s="20"/>
    </row>
    <row r="113" spans="2:2">
      <c r="B113" s="20"/>
    </row>
    <row r="114" spans="2:2">
      <c r="B114" s="20"/>
    </row>
    <row r="115" spans="2:2">
      <c r="B115" s="20"/>
    </row>
    <row r="116" spans="2:2">
      <c r="B116" s="20"/>
    </row>
    <row r="117" spans="2:2">
      <c r="B117" s="20"/>
    </row>
    <row r="118" spans="2:2">
      <c r="B118" s="20"/>
    </row>
  </sheetData>
  <mergeCells count="14">
    <mergeCell ref="I3:I4"/>
    <mergeCell ref="J3:J4"/>
    <mergeCell ref="K3:K4"/>
    <mergeCell ref="L3:L4"/>
    <mergeCell ref="M3:M4"/>
    <mergeCell ref="N3:N4"/>
    <mergeCell ref="G2:G4"/>
    <mergeCell ref="H2:H4"/>
    <mergeCell ref="A2:A3"/>
    <mergeCell ref="C2:C4"/>
    <mergeCell ref="D2:D4"/>
    <mergeCell ref="F2:F4"/>
    <mergeCell ref="B2:B3"/>
    <mergeCell ref="E2:E4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1" enableFormatConditionsCalculation="0">
    <tabColor indexed="46"/>
  </sheetPr>
  <dimension ref="D2:Y36"/>
  <sheetViews>
    <sheetView showGridLines="0" topLeftCell="A4" workbookViewId="0">
      <selection activeCell="A4" sqref="A1:IV65536"/>
    </sheetView>
  </sheetViews>
  <sheetFormatPr defaultRowHeight="12.75"/>
  <cols>
    <col min="1" max="22" width="9.140625" style="463"/>
    <col min="23" max="23" width="19.7109375" style="464" customWidth="1"/>
    <col min="24" max="25" width="9.140625" style="464"/>
    <col min="26" max="16384" width="9.140625" style="463"/>
  </cols>
  <sheetData>
    <row r="2" spans="4:24">
      <c r="D2" s="463">
        <v>2020</v>
      </c>
    </row>
    <row r="4" spans="4:24">
      <c r="X4" s="465" t="s">
        <v>593</v>
      </c>
    </row>
    <row r="5" spans="4:24">
      <c r="X5" s="465" t="s">
        <v>594</v>
      </c>
    </row>
    <row r="6" spans="4:24">
      <c r="X6" s="465"/>
    </row>
    <row r="7" spans="4:24">
      <c r="W7" s="466" t="s">
        <v>595</v>
      </c>
      <c r="X7" s="465" t="s">
        <v>596</v>
      </c>
    </row>
    <row r="8" spans="4:24">
      <c r="X8" s="465" t="s">
        <v>597</v>
      </c>
    </row>
    <row r="9" spans="4:24">
      <c r="X9" s="465"/>
    </row>
    <row r="10" spans="4:24">
      <c r="X10" s="465"/>
    </row>
    <row r="11" spans="4:24">
      <c r="X11" s="465"/>
    </row>
    <row r="12" spans="4:24">
      <c r="X12" s="465"/>
    </row>
    <row r="13" spans="4:24">
      <c r="X13" s="465"/>
    </row>
    <row r="14" spans="4:24">
      <c r="X14" s="465"/>
    </row>
    <row r="15" spans="4:24">
      <c r="X15" s="465"/>
    </row>
    <row r="16" spans="4:24">
      <c r="X16" s="465"/>
    </row>
    <row r="17" spans="23:24">
      <c r="W17" s="466" t="s">
        <v>598</v>
      </c>
      <c r="X17" s="465">
        <v>2008</v>
      </c>
    </row>
    <row r="18" spans="23:24">
      <c r="X18" s="465">
        <v>2009</v>
      </c>
    </row>
    <row r="19" spans="23:24">
      <c r="X19" s="465">
        <v>2010</v>
      </c>
    </row>
    <row r="20" spans="23:24">
      <c r="X20" s="465">
        <v>2011</v>
      </c>
    </row>
    <row r="21" spans="23:24">
      <c r="X21" s="465">
        <v>2012</v>
      </c>
    </row>
    <row r="22" spans="23:24">
      <c r="X22" s="465">
        <v>2013</v>
      </c>
    </row>
    <row r="23" spans="23:24">
      <c r="X23" s="465">
        <v>2014</v>
      </c>
    </row>
    <row r="24" spans="23:24">
      <c r="X24" s="465">
        <v>2015</v>
      </c>
    </row>
    <row r="25" spans="23:24">
      <c r="X25" s="465">
        <v>2016</v>
      </c>
    </row>
    <row r="26" spans="23:24">
      <c r="X26" s="465">
        <v>2017</v>
      </c>
    </row>
    <row r="27" spans="23:24">
      <c r="X27" s="465">
        <v>2018</v>
      </c>
    </row>
    <row r="28" spans="23:24">
      <c r="X28" s="465">
        <v>2019</v>
      </c>
    </row>
    <row r="29" spans="23:24">
      <c r="X29" s="465">
        <v>2020</v>
      </c>
    </row>
    <row r="30" spans="23:24">
      <c r="X30" s="465">
        <v>2021</v>
      </c>
    </row>
    <row r="31" spans="23:24">
      <c r="X31" s="465">
        <v>2022</v>
      </c>
    </row>
    <row r="32" spans="23:24">
      <c r="X32" s="465"/>
    </row>
    <row r="33" spans="23:24">
      <c r="W33" s="466" t="s">
        <v>599</v>
      </c>
      <c r="X33" s="465">
        <v>7</v>
      </c>
    </row>
    <row r="34" spans="23:24">
      <c r="W34" s="466" t="s">
        <v>600</v>
      </c>
      <c r="X34" s="467">
        <f>INDEX(X17:X31,X33,1)</f>
        <v>2014</v>
      </c>
    </row>
    <row r="36" spans="23:24">
      <c r="W36" s="466" t="s">
        <v>601</v>
      </c>
      <c r="X36" s="468" t="str">
        <f ca="1">MTREF&amp;"/"&amp;RIGHT(MTREF,2)+1</f>
        <v>2014/15</v>
      </c>
    </row>
  </sheetData>
  <phoneticPr fontId="2" type="noConversion"/>
  <pageMargins left="0.75" right="0.75" top="1" bottom="1" header="0.5" footer="0.5"/>
  <pageSetup paperSize="8" orientation="landscape" horizontalDpi="200" verticalDpi="200" r:id="rId1"/>
  <headerFooter alignWithMargins="0"/>
  <drawing r:id="rId2"/>
  <legacyDrawing r:id="rId3"/>
  <controls>
    <control shapeId="4132" r:id="rId4" name="ToggleButton1"/>
    <control shapeId="4126" r:id="rId5" name="DateOfAdjustment"/>
    <control shapeId="4124" r:id="rId6" name="ToggleHiddenColumns"/>
    <control shapeId="4123" r:id="rId7" name="TogglePreAuditColums"/>
    <control shapeId="4122" r:id="rId8" name="ToggleReferenceColumns"/>
    <control shapeId="4121" r:id="rId9" name="TextBox6"/>
    <control shapeId="4120" r:id="rId10" name="TextBox5"/>
    <control shapeId="4119" r:id="rId11" name="TextBox4"/>
    <control shapeId="4118" r:id="rId12" name="TextBox3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0" enableFormatConditionsCalculation="0">
    <tabColor rgb="FF92D050"/>
  </sheetPr>
  <dimension ref="A1:E98"/>
  <sheetViews>
    <sheetView topLeftCell="C1" workbookViewId="0">
      <pane ySplit="1" topLeftCell="A2" activePane="bottomLeft" state="frozen"/>
      <selection pane="bottomLeft"/>
    </sheetView>
  </sheetViews>
  <sheetFormatPr defaultRowHeight="11.25"/>
  <cols>
    <col min="1" max="1" width="10.7109375" style="7" customWidth="1"/>
    <col min="2" max="2" width="56.42578125" style="1" bestFit="1" customWidth="1"/>
    <col min="3" max="3" width="28.85546875" style="1" bestFit="1" customWidth="1"/>
    <col min="4" max="4" width="17.5703125" style="1" customWidth="1"/>
    <col min="5" max="16384" width="9.140625" style="1"/>
  </cols>
  <sheetData>
    <row r="1" spans="1:4">
      <c r="A1" s="416" t="s">
        <v>172</v>
      </c>
      <c r="B1" s="417"/>
      <c r="C1" s="417"/>
      <c r="D1" s="418"/>
    </row>
    <row r="2" spans="1:4">
      <c r="A2" s="11" t="s">
        <v>378</v>
      </c>
      <c r="B2" s="362" t="str">
        <f ca="1">HLOOKUP(MTREF,Headings,2)</f>
        <v>2013/14</v>
      </c>
      <c r="C2" s="363" t="s">
        <v>516</v>
      </c>
      <c r="D2" s="364"/>
    </row>
    <row r="3" spans="1:4">
      <c r="A3" s="2" t="s">
        <v>110</v>
      </c>
      <c r="B3" s="365" t="str">
        <f ca="1">HLOOKUP(MTREF,Headings,3)</f>
        <v>2012/13</v>
      </c>
      <c r="C3" s="366" t="s">
        <v>517</v>
      </c>
      <c r="D3" s="367"/>
    </row>
    <row r="4" spans="1:4">
      <c r="A4" s="2" t="s">
        <v>188</v>
      </c>
      <c r="B4" s="365" t="str">
        <f ca="1">HLOOKUP(MTREF,Headings,4)</f>
        <v>2011/12</v>
      </c>
      <c r="C4" s="366" t="s">
        <v>518</v>
      </c>
      <c r="D4" s="367"/>
    </row>
    <row r="5" spans="1:4">
      <c r="A5" s="2" t="s">
        <v>399</v>
      </c>
      <c r="B5" s="366">
        <f ca="1">HLOOKUP(MTREF,Headings,5)</f>
        <v>0</v>
      </c>
      <c r="C5" s="366" t="s">
        <v>519</v>
      </c>
      <c r="D5" s="367"/>
    </row>
    <row r="6" spans="1:4">
      <c r="A6" s="2" t="s">
        <v>208</v>
      </c>
      <c r="B6" s="365">
        <f ca="1">HLOOKUP(MTREF,Headings,6)</f>
        <v>0</v>
      </c>
      <c r="C6" s="366" t="s">
        <v>519</v>
      </c>
      <c r="D6" s="367"/>
    </row>
    <row r="7" spans="1:4">
      <c r="A7" s="2" t="s">
        <v>400</v>
      </c>
      <c r="B7" s="366" t="str">
        <f ca="1">HLOOKUP(MTREF,Headings,7)</f>
        <v>2014/15 Medium Term Revenue &amp; Expenditure Framework</v>
      </c>
      <c r="C7" s="366" t="s">
        <v>520</v>
      </c>
      <c r="D7" s="367"/>
    </row>
    <row r="8" spans="1:4">
      <c r="A8" s="2" t="s">
        <v>441</v>
      </c>
      <c r="B8" s="4" t="s">
        <v>328</v>
      </c>
      <c r="C8" s="4"/>
      <c r="D8" s="9"/>
    </row>
    <row r="9" spans="1:4">
      <c r="A9" s="2" t="s">
        <v>401</v>
      </c>
      <c r="B9" s="4" t="s">
        <v>140</v>
      </c>
      <c r="C9" s="4"/>
      <c r="D9" s="9"/>
    </row>
    <row r="10" spans="1:4">
      <c r="A10" s="2" t="s">
        <v>402</v>
      </c>
      <c r="B10" s="4" t="s">
        <v>77</v>
      </c>
      <c r="C10" s="4"/>
      <c r="D10" s="9"/>
    </row>
    <row r="11" spans="1:4">
      <c r="A11" s="2" t="s">
        <v>91</v>
      </c>
      <c r="B11" s="4" t="s">
        <v>92</v>
      </c>
      <c r="C11" s="4"/>
      <c r="D11" s="9"/>
    </row>
    <row r="12" spans="1:4">
      <c r="A12" s="2" t="s">
        <v>432</v>
      </c>
      <c r="B12" s="4" t="s">
        <v>433</v>
      </c>
      <c r="C12" s="4"/>
      <c r="D12" s="9"/>
    </row>
    <row r="13" spans="1:4">
      <c r="A13" s="2" t="s">
        <v>403</v>
      </c>
      <c r="B13" s="4" t="s">
        <v>144</v>
      </c>
      <c r="C13" s="4"/>
      <c r="D13" s="9"/>
    </row>
    <row r="14" spans="1:4">
      <c r="A14" s="2" t="s">
        <v>404</v>
      </c>
      <c r="B14" s="4" t="s">
        <v>329</v>
      </c>
      <c r="C14" s="4"/>
      <c r="D14" s="9"/>
    </row>
    <row r="15" spans="1:4">
      <c r="A15" s="2" t="s">
        <v>405</v>
      </c>
      <c r="B15" s="4" t="s">
        <v>330</v>
      </c>
      <c r="C15" s="4"/>
      <c r="D15" s="9"/>
    </row>
    <row r="16" spans="1:4">
      <c r="A16" s="2" t="s">
        <v>406</v>
      </c>
      <c r="B16" s="366" t="str">
        <f ca="1">HLOOKUP(MTREF,Headings,8)</f>
        <v>Budget Year 2014/15</v>
      </c>
      <c r="C16" s="366" t="s">
        <v>521</v>
      </c>
      <c r="D16" s="14" t="s">
        <v>219</v>
      </c>
    </row>
    <row r="17" spans="1:4">
      <c r="A17" s="2" t="s">
        <v>407</v>
      </c>
      <c r="B17" s="366" t="str">
        <f ca="1">HLOOKUP(MTREF,Headings,9)</f>
        <v>Budget Year +1 2015/16</v>
      </c>
      <c r="C17" s="366" t="s">
        <v>522</v>
      </c>
      <c r="D17" s="14" t="s">
        <v>220</v>
      </c>
    </row>
    <row r="18" spans="1:4">
      <c r="A18" s="2" t="s">
        <v>409</v>
      </c>
      <c r="B18" s="366" t="str">
        <f ca="1">HLOOKUP(MTREF,Headings,10)</f>
        <v>Budget Year +2 2016/17</v>
      </c>
      <c r="C18" s="366" t="s">
        <v>523</v>
      </c>
      <c r="D18" s="14" t="s">
        <v>221</v>
      </c>
    </row>
    <row r="19" spans="1:4">
      <c r="A19" s="2" t="s">
        <v>410</v>
      </c>
      <c r="B19" s="366">
        <f ca="1">HLOOKUP(MTREF,Headings,11)</f>
        <v>0</v>
      </c>
      <c r="C19" s="366" t="s">
        <v>524</v>
      </c>
      <c r="D19" s="14" t="s">
        <v>222</v>
      </c>
    </row>
    <row r="20" spans="1:4">
      <c r="A20" s="2" t="s">
        <v>411</v>
      </c>
      <c r="B20" s="366">
        <f ca="1">HLOOKUP(MTREF,Headings,12)</f>
        <v>0</v>
      </c>
      <c r="C20" s="366" t="s">
        <v>525</v>
      </c>
      <c r="D20" s="14" t="s">
        <v>223</v>
      </c>
    </row>
    <row r="21" spans="1:4">
      <c r="A21" s="2" t="s">
        <v>412</v>
      </c>
      <c r="B21" s="366">
        <f ca="1">HLOOKUP(MTREF,Headings,13)</f>
        <v>0</v>
      </c>
      <c r="C21" s="366" t="s">
        <v>525</v>
      </c>
      <c r="D21" s="14" t="s">
        <v>224</v>
      </c>
    </row>
    <row r="22" spans="1:4">
      <c r="A22" s="2" t="s">
        <v>413</v>
      </c>
      <c r="B22" s="366">
        <f ca="1">HLOOKUP(MTREF,Headings,14)</f>
        <v>0</v>
      </c>
      <c r="C22" s="366" t="s">
        <v>525</v>
      </c>
      <c r="D22" s="14" t="s">
        <v>225</v>
      </c>
    </row>
    <row r="23" spans="1:4">
      <c r="A23" s="2" t="s">
        <v>414</v>
      </c>
      <c r="B23" s="366">
        <f ca="1">HLOOKUP(MTREF,Headings,15)</f>
        <v>0</v>
      </c>
      <c r="C23" s="366" t="s">
        <v>525</v>
      </c>
      <c r="D23" s="14" t="s">
        <v>226</v>
      </c>
    </row>
    <row r="24" spans="1:4">
      <c r="A24" s="2" t="s">
        <v>415</v>
      </c>
      <c r="B24" s="366">
        <f ca="1">HLOOKUP(MTREF,Headings,16)</f>
        <v>0</v>
      </c>
      <c r="C24" s="366" t="s">
        <v>525</v>
      </c>
      <c r="D24" s="14" t="s">
        <v>227</v>
      </c>
    </row>
    <row r="25" spans="1:4">
      <c r="A25" s="2" t="s">
        <v>416</v>
      </c>
      <c r="B25" s="366">
        <f ca="1">HLOOKUP(MTREF,Headings,17)</f>
        <v>0</v>
      </c>
      <c r="C25" s="366" t="s">
        <v>525</v>
      </c>
      <c r="D25" s="14" t="s">
        <v>152</v>
      </c>
    </row>
    <row r="26" spans="1:4">
      <c r="A26" s="2" t="s">
        <v>417</v>
      </c>
      <c r="B26" s="366">
        <f ca="1">HLOOKUP(MTREF,Headings,18)</f>
        <v>0</v>
      </c>
      <c r="C26" s="366" t="s">
        <v>525</v>
      </c>
      <c r="D26" s="14" t="s">
        <v>42</v>
      </c>
    </row>
    <row r="27" spans="1:4">
      <c r="A27" s="2" t="s">
        <v>418</v>
      </c>
      <c r="B27" s="366">
        <f ca="1">HLOOKUP(MTREF,Headings,19)</f>
        <v>0</v>
      </c>
      <c r="C27" s="366" t="s">
        <v>525</v>
      </c>
      <c r="D27" s="14" t="s">
        <v>43</v>
      </c>
    </row>
    <row r="28" spans="1:4">
      <c r="A28" s="2" t="s">
        <v>419</v>
      </c>
      <c r="B28" s="366">
        <f ca="1">HLOOKUP(MTREF,Headings,20)</f>
        <v>0</v>
      </c>
      <c r="C28" s="366" t="s">
        <v>525</v>
      </c>
      <c r="D28" s="14" t="s">
        <v>44</v>
      </c>
    </row>
    <row r="29" spans="1:4">
      <c r="A29" s="2" t="s">
        <v>420</v>
      </c>
      <c r="B29" s="366">
        <f ca="1">HLOOKUP(MTREF,Headings,21)</f>
        <v>0</v>
      </c>
      <c r="C29" s="366" t="s">
        <v>525</v>
      </c>
      <c r="D29" s="14" t="s">
        <v>45</v>
      </c>
    </row>
    <row r="30" spans="1:4">
      <c r="A30" s="2" t="s">
        <v>421</v>
      </c>
      <c r="B30" s="366">
        <f ca="1">HLOOKUP(MTREF,Headings,22)</f>
        <v>0</v>
      </c>
      <c r="C30" s="366" t="s">
        <v>525</v>
      </c>
      <c r="D30" s="14" t="s">
        <v>46</v>
      </c>
    </row>
    <row r="31" spans="1:4">
      <c r="A31" s="2" t="s">
        <v>154</v>
      </c>
      <c r="B31" s="4" t="s">
        <v>205</v>
      </c>
      <c r="C31" s="4"/>
      <c r="D31" s="14" t="s">
        <v>155</v>
      </c>
    </row>
    <row r="32" spans="1:4">
      <c r="A32" s="2" t="s">
        <v>89</v>
      </c>
      <c r="B32" s="4" t="s">
        <v>1</v>
      </c>
      <c r="C32" s="4"/>
      <c r="D32" s="14" t="s">
        <v>90</v>
      </c>
    </row>
    <row r="33" spans="1:4">
      <c r="A33" s="2" t="s">
        <v>189</v>
      </c>
      <c r="B33" s="4" t="s">
        <v>190</v>
      </c>
      <c r="C33" s="4"/>
      <c r="D33" s="14" t="s">
        <v>191</v>
      </c>
    </row>
    <row r="34" spans="1:4">
      <c r="A34" s="2" t="s">
        <v>192</v>
      </c>
      <c r="B34" s="4" t="s">
        <v>106</v>
      </c>
      <c r="C34" s="4"/>
      <c r="D34" s="14"/>
    </row>
    <row r="35" spans="1:4">
      <c r="A35" s="2" t="s">
        <v>175</v>
      </c>
      <c r="B35" s="4" t="s">
        <v>176</v>
      </c>
      <c r="C35" s="4"/>
      <c r="D35" s="14"/>
    </row>
    <row r="36" spans="1:4">
      <c r="A36" s="2" t="s">
        <v>102</v>
      </c>
      <c r="B36" s="4" t="s">
        <v>369</v>
      </c>
      <c r="C36" s="4"/>
      <c r="D36" s="14" t="s">
        <v>103</v>
      </c>
    </row>
    <row r="37" spans="1:4">
      <c r="A37" s="2" t="s">
        <v>268</v>
      </c>
      <c r="B37" s="4" t="s">
        <v>274</v>
      </c>
      <c r="C37" s="4"/>
      <c r="D37" s="14"/>
    </row>
    <row r="38" spans="1:4">
      <c r="A38" s="2" t="s">
        <v>269</v>
      </c>
      <c r="B38" s="4" t="s">
        <v>275</v>
      </c>
      <c r="C38" s="4"/>
      <c r="D38" s="14"/>
    </row>
    <row r="39" spans="1:4">
      <c r="A39" s="2" t="s">
        <v>270</v>
      </c>
      <c r="B39" s="4" t="s">
        <v>80</v>
      </c>
      <c r="C39" s="4"/>
      <c r="D39" s="14"/>
    </row>
    <row r="40" spans="1:4">
      <c r="A40" s="2" t="s">
        <v>271</v>
      </c>
      <c r="B40" s="4" t="s">
        <v>146</v>
      </c>
      <c r="C40" s="4"/>
      <c r="D40" s="14"/>
    </row>
    <row r="41" spans="1:4">
      <c r="A41" s="2" t="s">
        <v>272</v>
      </c>
      <c r="B41" s="4" t="s">
        <v>147</v>
      </c>
      <c r="C41" s="4"/>
      <c r="D41" s="14"/>
    </row>
    <row r="42" spans="1:4">
      <c r="A42" s="2" t="s">
        <v>273</v>
      </c>
      <c r="B42" s="4" t="s">
        <v>78</v>
      </c>
      <c r="C42" s="4"/>
      <c r="D42" s="14"/>
    </row>
    <row r="43" spans="1:4">
      <c r="A43" s="2" t="s">
        <v>79</v>
      </c>
      <c r="B43" s="4" t="s">
        <v>122</v>
      </c>
      <c r="C43" s="4"/>
      <c r="D43" s="14"/>
    </row>
    <row r="44" spans="1:4">
      <c r="A44" s="2" t="s">
        <v>255</v>
      </c>
      <c r="B44" s="4" t="s">
        <v>206</v>
      </c>
      <c r="C44" s="4"/>
      <c r="D44" s="14"/>
    </row>
    <row r="45" spans="1:4">
      <c r="A45" s="2" t="s">
        <v>256</v>
      </c>
      <c r="B45" s="4" t="s">
        <v>207</v>
      </c>
      <c r="C45" s="4"/>
      <c r="D45" s="14"/>
    </row>
    <row r="46" spans="1:4">
      <c r="A46" s="2" t="s">
        <v>257</v>
      </c>
      <c r="B46" s="4" t="s">
        <v>261</v>
      </c>
      <c r="C46" s="4"/>
      <c r="D46" s="14"/>
    </row>
    <row r="47" spans="1:4">
      <c r="A47" s="2" t="s">
        <v>260</v>
      </c>
      <c r="B47" s="4" t="s">
        <v>243</v>
      </c>
      <c r="C47" s="4"/>
      <c r="D47" s="14"/>
    </row>
    <row r="48" spans="1:4">
      <c r="A48" s="2" t="s">
        <v>66</v>
      </c>
      <c r="B48" s="8" t="s">
        <v>244</v>
      </c>
      <c r="C48" s="4"/>
      <c r="D48" s="14"/>
    </row>
    <row r="49" spans="1:4">
      <c r="A49" s="2" t="s">
        <v>67</v>
      </c>
      <c r="B49" s="8" t="s">
        <v>285</v>
      </c>
      <c r="C49" s="4"/>
      <c r="D49" s="14"/>
    </row>
    <row r="50" spans="1:4">
      <c r="A50" s="2" t="s">
        <v>68</v>
      </c>
      <c r="B50" s="8" t="s">
        <v>39</v>
      </c>
      <c r="C50" s="4"/>
      <c r="D50" s="14"/>
    </row>
    <row r="51" spans="1:4">
      <c r="A51" s="2" t="s">
        <v>284</v>
      </c>
      <c r="B51" s="8" t="str">
        <f ca="1">Head3&amp;" Summary"</f>
        <v>2014/15 Medium Term Revenue &amp; Expenditure Framework Summary</v>
      </c>
      <c r="C51" s="4"/>
      <c r="D51" s="14"/>
    </row>
    <row r="52" spans="1:4">
      <c r="A52" s="2" t="s">
        <v>148</v>
      </c>
      <c r="B52" s="8" t="s">
        <v>151</v>
      </c>
      <c r="C52" s="4"/>
      <c r="D52" s="14"/>
    </row>
    <row r="53" spans="1:4">
      <c r="A53" s="2" t="s">
        <v>149</v>
      </c>
      <c r="B53" s="8" t="s">
        <v>150</v>
      </c>
      <c r="C53" s="4"/>
      <c r="D53" s="14"/>
    </row>
    <row r="54" spans="1:4">
      <c r="A54" s="2" t="s">
        <v>394</v>
      </c>
      <c r="B54" s="16" t="s">
        <v>27</v>
      </c>
      <c r="C54" s="17"/>
      <c r="D54" s="14"/>
    </row>
    <row r="55" spans="1:4">
      <c r="A55" s="2" t="s">
        <v>174</v>
      </c>
      <c r="B55" s="8" t="s">
        <v>157</v>
      </c>
      <c r="C55" s="4"/>
      <c r="D55" s="14"/>
    </row>
    <row r="56" spans="1:4">
      <c r="A56" s="2" t="s">
        <v>108</v>
      </c>
      <c r="B56" s="8" t="s">
        <v>3</v>
      </c>
      <c r="C56" s="4"/>
      <c r="D56" s="14"/>
    </row>
    <row r="57" spans="1:4">
      <c r="A57" s="2" t="s">
        <v>161</v>
      </c>
      <c r="B57" s="8" t="s">
        <v>163</v>
      </c>
      <c r="C57" s="4"/>
      <c r="D57" s="14"/>
    </row>
    <row r="58" spans="1:4">
      <c r="A58" s="2" t="s">
        <v>162</v>
      </c>
      <c r="B58" s="8" t="s">
        <v>323</v>
      </c>
      <c r="C58" s="4"/>
      <c r="D58" s="14"/>
    </row>
    <row r="59" spans="1:4">
      <c r="A59" s="2" t="s">
        <v>318</v>
      </c>
      <c r="B59" s="8" t="s">
        <v>322</v>
      </c>
      <c r="C59" s="4"/>
      <c r="D59" s="14"/>
    </row>
    <row r="60" spans="1:4">
      <c r="A60" s="2" t="s">
        <v>319</v>
      </c>
      <c r="B60" s="8" t="s">
        <v>25</v>
      </c>
      <c r="C60" s="4"/>
      <c r="D60" s="14"/>
    </row>
    <row r="61" spans="1:4">
      <c r="A61" s="2" t="s">
        <v>320</v>
      </c>
      <c r="B61" s="8" t="s">
        <v>324</v>
      </c>
      <c r="C61" s="4"/>
      <c r="D61" s="14"/>
    </row>
    <row r="62" spans="1:4">
      <c r="A62" s="2" t="s">
        <v>321</v>
      </c>
      <c r="B62" s="8" t="s">
        <v>428</v>
      </c>
      <c r="C62" s="4"/>
      <c r="D62" s="14"/>
    </row>
    <row r="63" spans="1:4">
      <c r="A63" s="2" t="s">
        <v>194</v>
      </c>
      <c r="B63" s="8" t="s">
        <v>24</v>
      </c>
      <c r="C63" s="4"/>
      <c r="D63" s="14"/>
    </row>
    <row r="64" spans="1:4">
      <c r="A64" s="2" t="s">
        <v>304</v>
      </c>
      <c r="B64" s="8" t="s">
        <v>305</v>
      </c>
      <c r="C64" s="4"/>
      <c r="D64" s="14"/>
    </row>
    <row r="65" spans="1:4">
      <c r="A65" s="2" t="s">
        <v>241</v>
      </c>
      <c r="B65" s="8" t="s">
        <v>242</v>
      </c>
      <c r="C65" s="4"/>
      <c r="D65" s="14"/>
    </row>
    <row r="66" spans="1:4">
      <c r="A66" s="2" t="s">
        <v>434</v>
      </c>
      <c r="B66" s="8" t="s">
        <v>435</v>
      </c>
      <c r="C66" s="4"/>
      <c r="D66" s="14"/>
    </row>
    <row r="67" spans="1:4">
      <c r="A67" s="2" t="s">
        <v>437</v>
      </c>
      <c r="B67" s="8" t="s">
        <v>156</v>
      </c>
      <c r="C67" s="4"/>
      <c r="D67" s="14"/>
    </row>
    <row r="68" spans="1:4">
      <c r="A68" s="2" t="s">
        <v>349</v>
      </c>
      <c r="B68" s="8" t="s">
        <v>347</v>
      </c>
      <c r="C68" s="4"/>
      <c r="D68" s="14"/>
    </row>
    <row r="69" spans="1:4">
      <c r="A69" s="2" t="s">
        <v>350</v>
      </c>
      <c r="B69" s="8" t="s">
        <v>348</v>
      </c>
      <c r="C69" s="4"/>
      <c r="D69" s="14"/>
    </row>
    <row r="70" spans="1:4">
      <c r="A70" s="2" t="s">
        <v>351</v>
      </c>
      <c r="B70" s="8" t="s">
        <v>353</v>
      </c>
      <c r="C70" s="4"/>
      <c r="D70" s="14"/>
    </row>
    <row r="71" spans="1:4">
      <c r="A71" s="2" t="s">
        <v>352</v>
      </c>
      <c r="B71" s="8" t="s">
        <v>184</v>
      </c>
      <c r="C71" s="4"/>
      <c r="D71" s="14"/>
    </row>
    <row r="72" spans="1:4">
      <c r="A72" s="2" t="s">
        <v>185</v>
      </c>
      <c r="B72" s="8" t="s">
        <v>209</v>
      </c>
      <c r="C72" s="4"/>
      <c r="D72" s="14"/>
    </row>
    <row r="73" spans="1:4">
      <c r="A73" s="2" t="s">
        <v>186</v>
      </c>
      <c r="B73" s="8" t="s">
        <v>210</v>
      </c>
      <c r="C73" s="4"/>
      <c r="D73" s="14"/>
    </row>
    <row r="74" spans="1:4">
      <c r="A74" s="2" t="s">
        <v>212</v>
      </c>
      <c r="B74" s="8" t="s">
        <v>211</v>
      </c>
      <c r="C74" s="4"/>
      <c r="D74" s="14"/>
    </row>
    <row r="75" spans="1:4">
      <c r="A75" s="416" t="s">
        <v>263</v>
      </c>
      <c r="B75" s="417"/>
      <c r="C75" s="417"/>
      <c r="D75" s="418"/>
    </row>
    <row r="76" spans="1:4">
      <c r="A76" s="205" t="s">
        <v>187</v>
      </c>
      <c r="B76" s="206" t="s">
        <v>615</v>
      </c>
      <c r="C76" s="206"/>
      <c r="D76" s="207"/>
    </row>
    <row r="77" spans="1:4">
      <c r="A77" s="208" t="s">
        <v>61</v>
      </c>
      <c r="B77" s="209"/>
      <c r="C77" s="209"/>
      <c r="D77" s="210"/>
    </row>
    <row r="78" spans="1:4">
      <c r="A78" s="419" t="s">
        <v>180</v>
      </c>
      <c r="B78" s="420"/>
      <c r="C78" s="18"/>
      <c r="D78" s="18" t="s">
        <v>69</v>
      </c>
    </row>
    <row r="79" spans="1:4">
      <c r="A79" s="12"/>
      <c r="B79" s="6" t="s">
        <v>297</v>
      </c>
      <c r="C79" s="6"/>
      <c r="D79" s="14"/>
    </row>
    <row r="80" spans="1:4">
      <c r="A80" s="12" t="s">
        <v>197</v>
      </c>
      <c r="B80" s="5" t="str">
        <f>B76&amp;" - "&amp;D80&amp;"Adjustments Budget Summary"</f>
        <v xml:space="preserve"> - Table E1 Adjustments Budget Summary</v>
      </c>
      <c r="C80" s="5"/>
      <c r="D80" s="14" t="s">
        <v>537</v>
      </c>
    </row>
    <row r="81" spans="1:5">
      <c r="A81" s="12" t="s">
        <v>298</v>
      </c>
      <c r="B81" s="4" t="str">
        <f>B76&amp;" - "&amp;D81&amp;"Adjustments Budget - Financial Performance (revenue and expenditure)"</f>
        <v xml:space="preserve"> - Table E2 Adjustments Budget - Financial Performance (revenue and expenditure)</v>
      </c>
      <c r="C81" s="4"/>
      <c r="D81" s="14" t="s">
        <v>538</v>
      </c>
    </row>
    <row r="82" spans="1:5">
      <c r="A82" s="12" t="s">
        <v>299</v>
      </c>
      <c r="B82" s="4" t="str">
        <f>B76&amp;" - "&amp;D82&amp;"Adjustments Capital Expenditure Budget by vote and funding"</f>
        <v xml:space="preserve"> - Table E3 Adjustments Capital Expenditure Budget by vote and funding</v>
      </c>
      <c r="C82" s="4"/>
      <c r="D82" s="14" t="s">
        <v>539</v>
      </c>
    </row>
    <row r="83" spans="1:5">
      <c r="A83" s="12" t="s">
        <v>300</v>
      </c>
      <c r="B83" s="4" t="str">
        <f>B76&amp;" - "&amp;D83&amp;"Adjustments Budget - Financial Position"</f>
        <v xml:space="preserve"> - Table E4 Adjustments Budget - Financial Position</v>
      </c>
      <c r="C83" s="4"/>
      <c r="D83" s="14" t="s">
        <v>540</v>
      </c>
    </row>
    <row r="84" spans="1:5">
      <c r="A84" s="13" t="s">
        <v>301</v>
      </c>
      <c r="B84" s="10" t="str">
        <f>B76&amp;" - "&amp;D84&amp;"Adjustments Budget - Cash Flows"</f>
        <v xml:space="preserve"> - Table E5 Adjustments Budget - Cash Flows</v>
      </c>
      <c r="C84" s="10"/>
      <c r="D84" s="15" t="s">
        <v>541</v>
      </c>
    </row>
    <row r="85" spans="1:5">
      <c r="A85" s="12" t="s">
        <v>302</v>
      </c>
      <c r="B85" s="4" t="str">
        <f>B76&amp;" - "&amp;D85&amp;"Adjustments Budget - measurable performance targets"</f>
        <v xml:space="preserve"> - Supporting Table SE1  Adjustments Budget - measurable performance targets</v>
      </c>
      <c r="C85" s="4"/>
      <c r="D85" s="337" t="s">
        <v>603</v>
      </c>
    </row>
    <row r="86" spans="1:5">
      <c r="A86" s="12" t="s">
        <v>303</v>
      </c>
      <c r="B86" s="4" t="str">
        <f>B76&amp;" - "&amp;D86&amp;" Adjustments Budget  - financial and non-financial indicators"</f>
        <v xml:space="preserve"> - Supporting Table SE2   Adjustments Budget  - financial and non-financial indicators</v>
      </c>
      <c r="C86" s="4"/>
      <c r="D86" s="337" t="s">
        <v>602</v>
      </c>
    </row>
    <row r="87" spans="1:5">
      <c r="A87" s="12" t="s">
        <v>367</v>
      </c>
      <c r="B87" s="4" t="str">
        <f>B76&amp;" - "&amp;D87&amp;" Adjustments Budget  - investment Portfolio"</f>
        <v xml:space="preserve"> - Supporting Table SE3   Adjustments Budget  - investment Portfolio</v>
      </c>
      <c r="C87" s="4"/>
      <c r="D87" s="337" t="s">
        <v>604</v>
      </c>
    </row>
    <row r="88" spans="1:5">
      <c r="A88" s="12" t="s">
        <v>196</v>
      </c>
      <c r="B88" s="4" t="str">
        <f>B76&amp;" - "&amp;D88&amp;" Adjustments Budget  - board member allowances and staff benefits"</f>
        <v xml:space="preserve"> - Supporting Table SE4   Adjustments Budget  - board member allowances and staff benefits</v>
      </c>
      <c r="C88" s="4"/>
      <c r="D88" s="337" t="s">
        <v>605</v>
      </c>
    </row>
    <row r="89" spans="1:5">
      <c r="A89" s="12" t="s">
        <v>423</v>
      </c>
      <c r="B89" s="4" t="str">
        <f>B76&amp;" - "&amp;D89&amp;" Adjustments Budget  - monthly cash and revenue/expenditure"</f>
        <v xml:space="preserve"> - Supporting Table SE5   Adjustments Budget  - monthly cash and revenue/expenditure</v>
      </c>
      <c r="C89" s="4"/>
      <c r="D89" s="337" t="s">
        <v>606</v>
      </c>
    </row>
    <row r="90" spans="1:5">
      <c r="A90" s="12" t="s">
        <v>610</v>
      </c>
      <c r="B90" s="4" t="str">
        <f>B76&amp;" - "&amp;D90&amp;" Adjustments capital expenditure on new assets by asset category"</f>
        <v xml:space="preserve"> - Supporting Table SE6a   Adjustments capital expenditure on new assets by asset category</v>
      </c>
      <c r="C90" s="4"/>
      <c r="D90" s="337" t="s">
        <v>611</v>
      </c>
      <c r="E90" s="8"/>
    </row>
    <row r="91" spans="1:5">
      <c r="A91" s="12" t="s">
        <v>608</v>
      </c>
      <c r="B91" s="4" t="str">
        <f>B76&amp;" - "&amp;D91&amp;" Adjustments capital expenditure on renewal of existing assets by asset category"</f>
        <v xml:space="preserve"> - Supporting Table SE6b Adjustments capital expenditure on renewal of existing assets by asset category</v>
      </c>
      <c r="C91" s="4"/>
      <c r="D91" s="337" t="s">
        <v>612</v>
      </c>
    </row>
    <row r="92" spans="1:5">
      <c r="A92" s="12" t="s">
        <v>609</v>
      </c>
      <c r="B92" s="4" t="str">
        <f>B76&amp;" - "&amp;D92&amp;" Adjustments expenditure on repairs and maintenance by asset category"</f>
        <v xml:space="preserve"> - Supporting Table SE6c Adjustments expenditure on repairs and maintenance by asset category</v>
      </c>
      <c r="C92" s="4"/>
      <c r="D92" s="337" t="s">
        <v>613</v>
      </c>
    </row>
    <row r="93" spans="1:5">
      <c r="A93" s="12" t="s">
        <v>424</v>
      </c>
      <c r="B93" s="4" t="str">
        <f>B76&amp;" - "&amp;D93&amp;" List of capital programmes and projects affected by Adjustments Budget"</f>
        <v xml:space="preserve"> - Supporting Table SE7   List of capital programmes and projects affected by Adjustments Budget</v>
      </c>
      <c r="C93" s="4"/>
      <c r="D93" s="337" t="s">
        <v>607</v>
      </c>
    </row>
    <row r="94" spans="1:5">
      <c r="A94" s="13"/>
      <c r="B94" s="10"/>
      <c r="C94" s="10"/>
      <c r="D94" s="15"/>
    </row>
    <row r="95" spans="1:5">
      <c r="A95" s="1"/>
    </row>
    <row r="96" spans="1:5">
      <c r="A96" s="1"/>
    </row>
    <row r="97" spans="1:4">
      <c r="A97" s="1"/>
    </row>
    <row r="98" spans="1:4">
      <c r="D98" s="3"/>
    </row>
  </sheetData>
  <sheetProtection selectLockedCells="1"/>
  <mergeCells count="3">
    <mergeCell ref="A1:D1"/>
    <mergeCell ref="A75:D75"/>
    <mergeCell ref="A78:B78"/>
  </mergeCells>
  <phoneticPr fontId="2" type="noConversion"/>
  <pageMargins left="0.75" right="0.75" top="1" bottom="1" header="0.5" footer="0.5"/>
  <pageSetup paperSize="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rgb="FF92D050"/>
  </sheetPr>
  <dimension ref="A1:U312"/>
  <sheetViews>
    <sheetView topLeftCell="A13" workbookViewId="0"/>
  </sheetViews>
  <sheetFormatPr defaultRowHeight="11.25"/>
  <cols>
    <col min="1" max="1" width="28.85546875" style="1" bestFit="1" customWidth="1"/>
    <col min="2" max="4" width="41.85546875" style="1" bestFit="1" customWidth="1"/>
    <col min="5" max="15" width="41.85546875" style="1" customWidth="1"/>
    <col min="16" max="16" width="1.28515625" style="1" customWidth="1"/>
    <col min="17" max="17" width="9.140625" style="1"/>
    <col min="18" max="18" width="24.140625" style="1" bestFit="1" customWidth="1"/>
    <col min="19" max="19" width="17.5703125" style="1" bestFit="1" customWidth="1"/>
    <col min="20" max="20" width="22.5703125" style="1" bestFit="1" customWidth="1"/>
    <col min="21" max="21" width="14.7109375" style="1" bestFit="1" customWidth="1"/>
    <col min="22" max="16384" width="9.140625" style="1"/>
  </cols>
  <sheetData>
    <row r="1" spans="1:21" s="189" customFormat="1">
      <c r="A1" s="190" t="s">
        <v>205</v>
      </c>
      <c r="B1" s="191">
        <v>2007</v>
      </c>
      <c r="C1" s="191">
        <v>2008</v>
      </c>
      <c r="D1" s="191">
        <v>2009</v>
      </c>
      <c r="E1" s="191">
        <v>2010</v>
      </c>
      <c r="F1" s="191">
        <v>2011</v>
      </c>
      <c r="G1" s="191">
        <v>2012</v>
      </c>
      <c r="H1" s="191">
        <v>2013</v>
      </c>
      <c r="I1" s="191">
        <v>2014</v>
      </c>
      <c r="J1" s="191">
        <v>2015</v>
      </c>
      <c r="K1" s="191">
        <v>2016</v>
      </c>
      <c r="L1" s="191">
        <v>2017</v>
      </c>
      <c r="M1" s="191">
        <v>2018</v>
      </c>
      <c r="N1" s="191">
        <v>2019</v>
      </c>
      <c r="O1" s="191">
        <v>2020</v>
      </c>
      <c r="P1" s="192"/>
      <c r="Q1" s="193" t="s">
        <v>465</v>
      </c>
      <c r="R1" s="193" t="s">
        <v>466</v>
      </c>
      <c r="S1" s="193" t="s">
        <v>467</v>
      </c>
      <c r="T1" s="193" t="s">
        <v>468</v>
      </c>
      <c r="U1" s="193" t="s">
        <v>469</v>
      </c>
    </row>
    <row r="2" spans="1:21">
      <c r="A2" s="8" t="s">
        <v>516</v>
      </c>
      <c r="B2" s="4" t="s">
        <v>95</v>
      </c>
      <c r="C2" s="4" t="s">
        <v>471</v>
      </c>
      <c r="D2" s="4" t="s">
        <v>472</v>
      </c>
      <c r="E2" s="194" t="str">
        <f t="shared" ref="E2:O2" si="0">E1-1&amp;"/"&amp;RIGHT(E1,2)-0</f>
        <v>2009/10</v>
      </c>
      <c r="F2" s="4" t="str">
        <f t="shared" si="0"/>
        <v>2010/11</v>
      </c>
      <c r="G2" s="4" t="str">
        <f t="shared" si="0"/>
        <v>2011/12</v>
      </c>
      <c r="H2" s="4" t="str">
        <f t="shared" si="0"/>
        <v>2012/13</v>
      </c>
      <c r="I2" s="4" t="str">
        <f t="shared" si="0"/>
        <v>2013/14</v>
      </c>
      <c r="J2" s="4" t="str">
        <f t="shared" si="0"/>
        <v>2014/15</v>
      </c>
      <c r="K2" s="4" t="str">
        <f t="shared" si="0"/>
        <v>2015/16</v>
      </c>
      <c r="L2" s="4" t="str">
        <f t="shared" si="0"/>
        <v>2016/17</v>
      </c>
      <c r="M2" s="4" t="str">
        <f t="shared" si="0"/>
        <v>2017/18</v>
      </c>
      <c r="N2" s="4" t="str">
        <f t="shared" si="0"/>
        <v>2018/19</v>
      </c>
      <c r="O2" s="4" t="str">
        <f t="shared" si="0"/>
        <v>2019/20</v>
      </c>
      <c r="P2" s="4"/>
      <c r="R2" s="1" t="s">
        <v>473</v>
      </c>
      <c r="S2" s="1" t="s">
        <v>474</v>
      </c>
      <c r="T2" s="1" t="s">
        <v>475</v>
      </c>
    </row>
    <row r="3" spans="1:21">
      <c r="A3" s="8" t="s">
        <v>517</v>
      </c>
      <c r="B3" s="17" t="s">
        <v>470</v>
      </c>
      <c r="C3" s="4" t="s">
        <v>95</v>
      </c>
      <c r="D3" s="4" t="s">
        <v>471</v>
      </c>
      <c r="E3" s="194" t="str">
        <f t="shared" ref="E3:O3" si="1">E1-2&amp;"/"&amp;RIGHT(E1,2)-1</f>
        <v>2008/9</v>
      </c>
      <c r="F3" s="4" t="str">
        <f t="shared" si="1"/>
        <v>2009/10</v>
      </c>
      <c r="G3" s="4" t="str">
        <f t="shared" si="1"/>
        <v>2010/11</v>
      </c>
      <c r="H3" s="4" t="str">
        <f t="shared" si="1"/>
        <v>2011/12</v>
      </c>
      <c r="I3" s="4" t="str">
        <f t="shared" si="1"/>
        <v>2012/13</v>
      </c>
      <c r="J3" s="4" t="str">
        <f t="shared" si="1"/>
        <v>2013/14</v>
      </c>
      <c r="K3" s="4" t="str">
        <f t="shared" si="1"/>
        <v>2014/15</v>
      </c>
      <c r="L3" s="4" t="str">
        <f t="shared" si="1"/>
        <v>2015/16</v>
      </c>
      <c r="M3" s="4" t="str">
        <f t="shared" si="1"/>
        <v>2016/17</v>
      </c>
      <c r="N3" s="4" t="str">
        <f t="shared" si="1"/>
        <v>2017/18</v>
      </c>
      <c r="O3" s="4" t="str">
        <f t="shared" si="1"/>
        <v>2018/19</v>
      </c>
      <c r="P3" s="4"/>
      <c r="R3" s="1" t="s">
        <v>476</v>
      </c>
      <c r="S3" s="1" t="s">
        <v>477</v>
      </c>
      <c r="T3" s="1" t="s">
        <v>478</v>
      </c>
    </row>
    <row r="4" spans="1:21">
      <c r="A4" s="8" t="s">
        <v>518</v>
      </c>
      <c r="B4" s="17" t="s">
        <v>76</v>
      </c>
      <c r="C4" s="4" t="s">
        <v>470</v>
      </c>
      <c r="D4" s="4" t="s">
        <v>95</v>
      </c>
      <c r="E4" s="194" t="str">
        <f t="shared" ref="E4:O4" si="2">E1-3&amp;"/"&amp;RIGHT(E1,2)-2</f>
        <v>2007/8</v>
      </c>
      <c r="F4" s="4" t="str">
        <f t="shared" si="2"/>
        <v>2008/9</v>
      </c>
      <c r="G4" s="4" t="str">
        <f t="shared" si="2"/>
        <v>2009/10</v>
      </c>
      <c r="H4" s="4" t="str">
        <f t="shared" si="2"/>
        <v>2010/11</v>
      </c>
      <c r="I4" s="4" t="str">
        <f t="shared" si="2"/>
        <v>2011/12</v>
      </c>
      <c r="J4" s="4" t="str">
        <f t="shared" si="2"/>
        <v>2012/13</v>
      </c>
      <c r="K4" s="4" t="str">
        <f t="shared" si="2"/>
        <v>2013/14</v>
      </c>
      <c r="L4" s="4" t="str">
        <f t="shared" si="2"/>
        <v>2014/15</v>
      </c>
      <c r="M4" s="4" t="str">
        <f t="shared" si="2"/>
        <v>2015/16</v>
      </c>
      <c r="N4" s="4" t="str">
        <f t="shared" si="2"/>
        <v>2016/17</v>
      </c>
      <c r="O4" s="4" t="str">
        <f t="shared" si="2"/>
        <v>2017/18</v>
      </c>
      <c r="P4" s="4"/>
      <c r="R4" s="1" t="s">
        <v>479</v>
      </c>
      <c r="S4" s="1" t="s">
        <v>480</v>
      </c>
      <c r="T4" s="1" t="s">
        <v>481</v>
      </c>
    </row>
    <row r="5" spans="1:21">
      <c r="A5" s="8" t="s">
        <v>519</v>
      </c>
      <c r="B5" s="4" t="s">
        <v>482</v>
      </c>
      <c r="C5" s="4" t="s">
        <v>483</v>
      </c>
      <c r="D5" s="4" t="s">
        <v>484</v>
      </c>
      <c r="E5" s="194" t="s">
        <v>485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R5" s="1" t="s">
        <v>486</v>
      </c>
      <c r="S5" s="1" t="s">
        <v>487</v>
      </c>
      <c r="T5" s="1" t="s">
        <v>488</v>
      </c>
    </row>
    <row r="6" spans="1:21">
      <c r="A6" s="8" t="s">
        <v>519</v>
      </c>
      <c r="B6" s="4" t="s">
        <v>95</v>
      </c>
      <c r="C6" s="4" t="s">
        <v>471</v>
      </c>
      <c r="D6" s="4" t="s">
        <v>472</v>
      </c>
      <c r="E6" s="194" t="s">
        <v>489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1" t="s">
        <v>490</v>
      </c>
      <c r="T6" s="1" t="s">
        <v>491</v>
      </c>
    </row>
    <row r="7" spans="1:21">
      <c r="A7" s="8" t="s">
        <v>520</v>
      </c>
      <c r="B7" s="4" t="s">
        <v>492</v>
      </c>
      <c r="C7" s="4" t="s">
        <v>493</v>
      </c>
      <c r="D7" s="4" t="s">
        <v>494</v>
      </c>
      <c r="E7" s="194" t="str">
        <f>E1&amp;"/"&amp;RIGHT(E1,2)+1&amp;" Medium Term Revenue &amp; Expenditure Framework"</f>
        <v>2010/11 Medium Term Revenue &amp; Expenditure Framework</v>
      </c>
      <c r="F7" s="194" t="str">
        <f t="shared" ref="F7:O7" si="3">F1&amp;"/"&amp;RIGHT(F1,2)+1&amp;" Medium Term Revenue &amp; Expenditure Framework"</f>
        <v>2011/12 Medium Term Revenue &amp; Expenditure Framework</v>
      </c>
      <c r="G7" s="194" t="str">
        <f t="shared" si="3"/>
        <v>2012/13 Medium Term Revenue &amp; Expenditure Framework</v>
      </c>
      <c r="H7" s="194" t="str">
        <f t="shared" si="3"/>
        <v>2013/14 Medium Term Revenue &amp; Expenditure Framework</v>
      </c>
      <c r="I7" s="194" t="str">
        <f t="shared" si="3"/>
        <v>2014/15 Medium Term Revenue &amp; Expenditure Framework</v>
      </c>
      <c r="J7" s="194" t="str">
        <f t="shared" si="3"/>
        <v>2015/16 Medium Term Revenue &amp; Expenditure Framework</v>
      </c>
      <c r="K7" s="194" t="str">
        <f t="shared" si="3"/>
        <v>2016/17 Medium Term Revenue &amp; Expenditure Framework</v>
      </c>
      <c r="L7" s="194" t="str">
        <f t="shared" si="3"/>
        <v>2017/18 Medium Term Revenue &amp; Expenditure Framework</v>
      </c>
      <c r="M7" s="194" t="str">
        <f t="shared" si="3"/>
        <v>2018/19 Medium Term Revenue &amp; Expenditure Framework</v>
      </c>
      <c r="N7" s="194" t="str">
        <f t="shared" si="3"/>
        <v>2019/20 Medium Term Revenue &amp; Expenditure Framework</v>
      </c>
      <c r="O7" s="194" t="str">
        <f t="shared" si="3"/>
        <v>2020/21 Medium Term Revenue &amp; Expenditure Framework</v>
      </c>
      <c r="P7" s="4"/>
      <c r="R7" s="1" t="s">
        <v>495</v>
      </c>
    </row>
    <row r="8" spans="1:21">
      <c r="A8" s="8" t="s">
        <v>521</v>
      </c>
      <c r="B8" s="4" t="s">
        <v>496</v>
      </c>
      <c r="C8" s="4" t="s">
        <v>497</v>
      </c>
      <c r="D8" s="4" t="s">
        <v>498</v>
      </c>
      <c r="E8" s="194" t="str">
        <f>"Budget Year "&amp;E1&amp;"/"&amp;RIGHT(E2,2)+1</f>
        <v>Budget Year 2010/11</v>
      </c>
      <c r="F8" s="194" t="str">
        <f t="shared" ref="F8:O8" si="4">"Budget Year "&amp;F1&amp;"/"&amp;RIGHT(F2,2)+1</f>
        <v>Budget Year 2011/12</v>
      </c>
      <c r="G8" s="194" t="str">
        <f t="shared" si="4"/>
        <v>Budget Year 2012/13</v>
      </c>
      <c r="H8" s="194" t="str">
        <f t="shared" si="4"/>
        <v>Budget Year 2013/14</v>
      </c>
      <c r="I8" s="194" t="str">
        <f t="shared" si="4"/>
        <v>Budget Year 2014/15</v>
      </c>
      <c r="J8" s="194" t="str">
        <f t="shared" si="4"/>
        <v>Budget Year 2015/16</v>
      </c>
      <c r="K8" s="194" t="str">
        <f t="shared" si="4"/>
        <v>Budget Year 2016/17</v>
      </c>
      <c r="L8" s="194" t="str">
        <f t="shared" si="4"/>
        <v>Budget Year 2017/18</v>
      </c>
      <c r="M8" s="194" t="str">
        <f t="shared" si="4"/>
        <v>Budget Year 2018/19</v>
      </c>
      <c r="N8" s="194" t="str">
        <f t="shared" si="4"/>
        <v>Budget Year 2019/20</v>
      </c>
      <c r="O8" s="194" t="str">
        <f t="shared" si="4"/>
        <v>Budget Year 2020/21</v>
      </c>
      <c r="P8" s="4"/>
    </row>
    <row r="9" spans="1:21">
      <c r="A9" s="8" t="s">
        <v>522</v>
      </c>
      <c r="B9" s="4" t="s">
        <v>499</v>
      </c>
      <c r="C9" s="4" t="s">
        <v>500</v>
      </c>
      <c r="D9" s="4" t="s">
        <v>501</v>
      </c>
      <c r="E9" s="194" t="str">
        <f>"Budget Year +1 "&amp;E1+1&amp;"/"&amp;RIGHT(E2,2)+2</f>
        <v>Budget Year +1 2011/12</v>
      </c>
      <c r="F9" s="194" t="str">
        <f t="shared" ref="F9:O9" si="5">"Budget Year +1 "&amp;F1+1&amp;"/"&amp;RIGHT(F2,2)+2</f>
        <v>Budget Year +1 2012/13</v>
      </c>
      <c r="G9" s="194" t="str">
        <f t="shared" si="5"/>
        <v>Budget Year +1 2013/14</v>
      </c>
      <c r="H9" s="194" t="str">
        <f t="shared" si="5"/>
        <v>Budget Year +1 2014/15</v>
      </c>
      <c r="I9" s="194" t="str">
        <f t="shared" si="5"/>
        <v>Budget Year +1 2015/16</v>
      </c>
      <c r="J9" s="194" t="str">
        <f t="shared" si="5"/>
        <v>Budget Year +1 2016/17</v>
      </c>
      <c r="K9" s="194" t="str">
        <f t="shared" si="5"/>
        <v>Budget Year +1 2017/18</v>
      </c>
      <c r="L9" s="194" t="str">
        <f t="shared" si="5"/>
        <v>Budget Year +1 2018/19</v>
      </c>
      <c r="M9" s="194" t="str">
        <f t="shared" si="5"/>
        <v>Budget Year +1 2019/20</v>
      </c>
      <c r="N9" s="194" t="str">
        <f t="shared" si="5"/>
        <v>Budget Year +1 2020/21</v>
      </c>
      <c r="O9" s="194" t="str">
        <f t="shared" si="5"/>
        <v>Budget Year +1 2021/22</v>
      </c>
      <c r="P9" s="4"/>
      <c r="R9" s="195"/>
    </row>
    <row r="10" spans="1:21">
      <c r="A10" s="8" t="s">
        <v>523</v>
      </c>
      <c r="B10" s="4" t="s">
        <v>502</v>
      </c>
      <c r="C10" s="4" t="s">
        <v>503</v>
      </c>
      <c r="D10" s="4" t="s">
        <v>504</v>
      </c>
      <c r="E10" s="194" t="str">
        <f>"Budget Year +2 "&amp;E1+2&amp;"/"&amp;RIGHT(E2,2)+3</f>
        <v>Budget Year +2 2012/13</v>
      </c>
      <c r="F10" s="194" t="str">
        <f t="shared" ref="F10:O10" si="6">"Budget Year +2 "&amp;F1+2&amp;"/"&amp;RIGHT(F2,2)+3</f>
        <v>Budget Year +2 2013/14</v>
      </c>
      <c r="G10" s="194" t="str">
        <f t="shared" si="6"/>
        <v>Budget Year +2 2014/15</v>
      </c>
      <c r="H10" s="194" t="str">
        <f t="shared" si="6"/>
        <v>Budget Year +2 2015/16</v>
      </c>
      <c r="I10" s="194" t="str">
        <f t="shared" si="6"/>
        <v>Budget Year +2 2016/17</v>
      </c>
      <c r="J10" s="194" t="str">
        <f t="shared" si="6"/>
        <v>Budget Year +2 2017/18</v>
      </c>
      <c r="K10" s="194" t="str">
        <f t="shared" si="6"/>
        <v>Budget Year +2 2018/19</v>
      </c>
      <c r="L10" s="194" t="str">
        <f t="shared" si="6"/>
        <v>Budget Year +2 2019/20</v>
      </c>
      <c r="M10" s="194" t="str">
        <f t="shared" si="6"/>
        <v>Budget Year +2 2020/21</v>
      </c>
      <c r="N10" s="194" t="str">
        <f t="shared" si="6"/>
        <v>Budget Year +2 2021/22</v>
      </c>
      <c r="O10" s="194" t="str">
        <f t="shared" si="6"/>
        <v>Budget Year +2 2022/23</v>
      </c>
      <c r="P10" s="4"/>
    </row>
    <row r="11" spans="1:21">
      <c r="A11" s="8" t="s">
        <v>524</v>
      </c>
      <c r="B11" s="4" t="s">
        <v>228</v>
      </c>
      <c r="C11" s="4" t="s">
        <v>229</v>
      </c>
      <c r="D11" s="4" t="s">
        <v>230</v>
      </c>
      <c r="E11" s="194" t="s">
        <v>231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>
      <c r="A12" s="8" t="s">
        <v>525</v>
      </c>
      <c r="B12" s="4" t="s">
        <v>229</v>
      </c>
      <c r="C12" s="4" t="s">
        <v>230</v>
      </c>
      <c r="D12" s="4" t="s">
        <v>231</v>
      </c>
      <c r="E12" s="194" t="s">
        <v>97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1">
      <c r="A13" s="8" t="s">
        <v>525</v>
      </c>
      <c r="B13" s="4" t="s">
        <v>230</v>
      </c>
      <c r="C13" s="4" t="s">
        <v>231</v>
      </c>
      <c r="D13" s="4" t="s">
        <v>97</v>
      </c>
      <c r="E13" s="194" t="s">
        <v>98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21">
      <c r="A14" s="8" t="s">
        <v>525</v>
      </c>
      <c r="B14" s="4" t="s">
        <v>231</v>
      </c>
      <c r="C14" s="4" t="s">
        <v>97</v>
      </c>
      <c r="D14" s="4" t="s">
        <v>98</v>
      </c>
      <c r="E14" s="194" t="s">
        <v>99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21">
      <c r="A15" s="8" t="s">
        <v>525</v>
      </c>
      <c r="B15" s="4" t="s">
        <v>97</v>
      </c>
      <c r="C15" s="4" t="s">
        <v>98</v>
      </c>
      <c r="D15" s="4" t="s">
        <v>99</v>
      </c>
      <c r="E15" s="194" t="s">
        <v>100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1">
      <c r="A16" s="8" t="s">
        <v>525</v>
      </c>
      <c r="B16" s="4" t="s">
        <v>98</v>
      </c>
      <c r="C16" s="4" t="s">
        <v>99</v>
      </c>
      <c r="D16" s="4" t="s">
        <v>100</v>
      </c>
      <c r="E16" s="194" t="s">
        <v>11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8" t="s">
        <v>525</v>
      </c>
      <c r="B17" s="4" t="s">
        <v>99</v>
      </c>
      <c r="C17" s="4" t="s">
        <v>100</v>
      </c>
      <c r="D17" s="4" t="s">
        <v>11</v>
      </c>
      <c r="E17" s="194" t="s">
        <v>10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8" t="s">
        <v>525</v>
      </c>
      <c r="B18" s="4" t="s">
        <v>100</v>
      </c>
      <c r="C18" s="4" t="s">
        <v>11</v>
      </c>
      <c r="D18" s="4" t="s">
        <v>10</v>
      </c>
      <c r="E18" s="194" t="s">
        <v>101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8" t="s">
        <v>525</v>
      </c>
      <c r="B19" s="4" t="s">
        <v>11</v>
      </c>
      <c r="C19" s="4" t="s">
        <v>10</v>
      </c>
      <c r="D19" s="4" t="s">
        <v>101</v>
      </c>
      <c r="E19" s="194" t="s">
        <v>408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8" t="s">
        <v>525</v>
      </c>
      <c r="B20" s="4" t="s">
        <v>10</v>
      </c>
      <c r="C20" s="4" t="s">
        <v>101</v>
      </c>
      <c r="D20" s="4" t="s">
        <v>408</v>
      </c>
      <c r="E20" s="194" t="s">
        <v>505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8" t="s">
        <v>525</v>
      </c>
      <c r="B21" s="4" t="s">
        <v>101</v>
      </c>
      <c r="C21" s="4" t="s">
        <v>408</v>
      </c>
      <c r="D21" s="4" t="s">
        <v>505</v>
      </c>
      <c r="E21" s="194" t="s">
        <v>506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8" t="s">
        <v>525</v>
      </c>
      <c r="B22" s="4" t="s">
        <v>408</v>
      </c>
      <c r="C22" s="4" t="s">
        <v>505</v>
      </c>
      <c r="D22" s="4" t="s">
        <v>506</v>
      </c>
      <c r="E22" s="194" t="s">
        <v>507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8" t="s">
        <v>508</v>
      </c>
      <c r="B23" s="4" t="s">
        <v>274</v>
      </c>
      <c r="C23" s="4" t="s">
        <v>509</v>
      </c>
      <c r="D23" s="4" t="s">
        <v>510</v>
      </c>
      <c r="E23" s="194" t="s">
        <v>511</v>
      </c>
      <c r="F23" s="4" t="str">
        <f>"Annual target " &amp; E1&amp;"/"&amp;RIGHT(E1,2)+1</f>
        <v>Annual target 2010/11</v>
      </c>
      <c r="G23" s="4" t="str">
        <f t="shared" ref="G23:O23" si="7">"Annual target " &amp; F1&amp;"/"&amp;RIGHT(F1,2)+1</f>
        <v>Annual target 2011/12</v>
      </c>
      <c r="H23" s="4" t="str">
        <f t="shared" si="7"/>
        <v>Annual target 2012/13</v>
      </c>
      <c r="I23" s="4" t="str">
        <f t="shared" si="7"/>
        <v>Annual target 2013/14</v>
      </c>
      <c r="J23" s="4" t="str">
        <f t="shared" si="7"/>
        <v>Annual target 2014/15</v>
      </c>
      <c r="K23" s="4" t="str">
        <f t="shared" si="7"/>
        <v>Annual target 2015/16</v>
      </c>
      <c r="L23" s="4" t="str">
        <f t="shared" si="7"/>
        <v>Annual target 2016/17</v>
      </c>
      <c r="M23" s="4" t="str">
        <f t="shared" si="7"/>
        <v>Annual target 2017/18</v>
      </c>
      <c r="N23" s="4" t="str">
        <f t="shared" si="7"/>
        <v>Annual target 2018/19</v>
      </c>
      <c r="O23" s="4" t="str">
        <f t="shared" si="7"/>
        <v>Annual target 2019/20</v>
      </c>
      <c r="P23" s="4"/>
    </row>
    <row r="24" spans="1:16">
      <c r="A24" s="196" t="s">
        <v>508</v>
      </c>
      <c r="B24" s="10" t="s">
        <v>275</v>
      </c>
      <c r="C24" s="10" t="s">
        <v>512</v>
      </c>
      <c r="D24" s="10" t="s">
        <v>513</v>
      </c>
      <c r="E24" s="197" t="s">
        <v>514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4"/>
    </row>
    <row r="25" spans="1:16" ht="18">
      <c r="A25" s="198" t="s">
        <v>515</v>
      </c>
    </row>
    <row r="27" spans="1:16">
      <c r="A27" s="1" t="s">
        <v>616</v>
      </c>
      <c r="B27" s="1">
        <v>171</v>
      </c>
    </row>
    <row r="28" spans="1:16">
      <c r="A28" s="1" t="s">
        <v>617</v>
      </c>
      <c r="B28" s="1" t="str">
        <f>INDEX(B29:B312,B27,1)</f>
        <v>LIM333 Greater Tzaneen</v>
      </c>
    </row>
    <row r="29" spans="1:16">
      <c r="B29" s="1" t="s">
        <v>618</v>
      </c>
      <c r="C29" s="1" t="s">
        <v>619</v>
      </c>
    </row>
    <row r="30" spans="1:16">
      <c r="B30" s="1" t="s">
        <v>620</v>
      </c>
      <c r="C30" s="1" t="s">
        <v>621</v>
      </c>
    </row>
    <row r="31" spans="1:16">
      <c r="B31" s="1" t="s">
        <v>622</v>
      </c>
      <c r="C31" s="1" t="s">
        <v>623</v>
      </c>
    </row>
    <row r="32" spans="1:16">
      <c r="B32" s="1" t="s">
        <v>624</v>
      </c>
      <c r="C32" s="1" t="s">
        <v>623</v>
      </c>
    </row>
    <row r="33" spans="2:3">
      <c r="B33" s="1" t="s">
        <v>625</v>
      </c>
      <c r="C33" s="1" t="s">
        <v>623</v>
      </c>
    </row>
    <row r="34" spans="2:3">
      <c r="B34" s="1" t="s">
        <v>626</v>
      </c>
      <c r="C34" s="1" t="s">
        <v>623</v>
      </c>
    </row>
    <row r="35" spans="2:3">
      <c r="B35" s="1" t="s">
        <v>627</v>
      </c>
      <c r="C35" s="1" t="s">
        <v>623</v>
      </c>
    </row>
    <row r="36" spans="2:3">
      <c r="B36" s="1" t="s">
        <v>628</v>
      </c>
      <c r="C36" s="1" t="s">
        <v>629</v>
      </c>
    </row>
    <row r="37" spans="2:3">
      <c r="B37" s="1" t="s">
        <v>630</v>
      </c>
      <c r="C37" s="1" t="s">
        <v>629</v>
      </c>
    </row>
    <row r="38" spans="2:3">
      <c r="B38" s="1" t="s">
        <v>631</v>
      </c>
      <c r="C38" s="1" t="s">
        <v>629</v>
      </c>
    </row>
    <row r="39" spans="2:3">
      <c r="B39" s="1" t="s">
        <v>632</v>
      </c>
      <c r="C39" s="1" t="s">
        <v>629</v>
      </c>
    </row>
    <row r="40" spans="2:3">
      <c r="B40" s="1" t="s">
        <v>633</v>
      </c>
      <c r="C40" s="1" t="s">
        <v>621</v>
      </c>
    </row>
    <row r="41" spans="2:3">
      <c r="B41" s="1" t="s">
        <v>634</v>
      </c>
      <c r="C41" s="1" t="s">
        <v>629</v>
      </c>
    </row>
    <row r="42" spans="2:3">
      <c r="B42" s="1" t="s">
        <v>635</v>
      </c>
      <c r="C42" s="1" t="s">
        <v>636</v>
      </c>
    </row>
    <row r="43" spans="2:3">
      <c r="B43" s="1" t="s">
        <v>637</v>
      </c>
      <c r="C43" s="1" t="s">
        <v>636</v>
      </c>
    </row>
    <row r="44" spans="2:3">
      <c r="B44" s="1" t="s">
        <v>638</v>
      </c>
      <c r="C44" s="1" t="s">
        <v>636</v>
      </c>
    </row>
    <row r="45" spans="2:3">
      <c r="B45" s="1" t="s">
        <v>639</v>
      </c>
      <c r="C45" s="1" t="s">
        <v>636</v>
      </c>
    </row>
    <row r="46" spans="2:3">
      <c r="B46" s="1" t="s">
        <v>640</v>
      </c>
      <c r="C46" s="1" t="s">
        <v>636</v>
      </c>
    </row>
    <row r="47" spans="2:3">
      <c r="B47" s="1" t="s">
        <v>641</v>
      </c>
      <c r="C47" s="1" t="s">
        <v>636</v>
      </c>
    </row>
    <row r="48" spans="2:3">
      <c r="B48" s="1" t="s">
        <v>642</v>
      </c>
      <c r="C48" s="1" t="s">
        <v>636</v>
      </c>
    </row>
    <row r="49" spans="2:3">
      <c r="B49" s="1" t="s">
        <v>643</v>
      </c>
      <c r="C49" s="1" t="s">
        <v>636</v>
      </c>
    </row>
    <row r="50" spans="2:3">
      <c r="B50" s="1" t="s">
        <v>644</v>
      </c>
      <c r="C50" s="1" t="s">
        <v>636</v>
      </c>
    </row>
    <row r="51" spans="2:3">
      <c r="B51" s="1" t="s">
        <v>645</v>
      </c>
      <c r="C51" s="1" t="s">
        <v>621</v>
      </c>
    </row>
    <row r="52" spans="2:3">
      <c r="B52" s="1" t="s">
        <v>646</v>
      </c>
      <c r="C52" s="1" t="s">
        <v>647</v>
      </c>
    </row>
    <row r="53" spans="2:3">
      <c r="B53" s="1" t="s">
        <v>648</v>
      </c>
      <c r="C53" s="1" t="s">
        <v>647</v>
      </c>
    </row>
    <row r="54" spans="2:3">
      <c r="B54" s="1" t="s">
        <v>649</v>
      </c>
      <c r="C54" s="1" t="s">
        <v>647</v>
      </c>
    </row>
    <row r="55" spans="2:3">
      <c r="B55" s="1" t="s">
        <v>650</v>
      </c>
      <c r="C55" s="1" t="s">
        <v>651</v>
      </c>
    </row>
    <row r="56" spans="2:3">
      <c r="B56" s="1" t="s">
        <v>652</v>
      </c>
      <c r="C56" s="1" t="s">
        <v>651</v>
      </c>
    </row>
    <row r="57" spans="2:3">
      <c r="B57" s="1" t="s">
        <v>653</v>
      </c>
      <c r="C57" s="1" t="s">
        <v>651</v>
      </c>
    </row>
    <row r="58" spans="2:3">
      <c r="B58" s="1" t="s">
        <v>654</v>
      </c>
      <c r="C58" s="1" t="s">
        <v>651</v>
      </c>
    </row>
    <row r="59" spans="2:3">
      <c r="B59" s="1" t="s">
        <v>655</v>
      </c>
      <c r="C59" s="1" t="s">
        <v>656</v>
      </c>
    </row>
    <row r="60" spans="2:3">
      <c r="B60" s="1" t="s">
        <v>657</v>
      </c>
      <c r="C60" s="1" t="s">
        <v>656</v>
      </c>
    </row>
    <row r="61" spans="2:3">
      <c r="B61" s="1" t="s">
        <v>658</v>
      </c>
      <c r="C61" s="1" t="s">
        <v>656</v>
      </c>
    </row>
    <row r="62" spans="2:3">
      <c r="B62" s="1" t="s">
        <v>659</v>
      </c>
      <c r="C62" s="1" t="s">
        <v>621</v>
      </c>
    </row>
    <row r="63" spans="2:3">
      <c r="B63" s="1" t="s">
        <v>660</v>
      </c>
      <c r="C63" s="1" t="s">
        <v>656</v>
      </c>
    </row>
    <row r="64" spans="2:3">
      <c r="B64" s="1" t="s">
        <v>661</v>
      </c>
      <c r="C64" s="1" t="s">
        <v>662</v>
      </c>
    </row>
    <row r="65" spans="2:3">
      <c r="B65" s="1" t="s">
        <v>663</v>
      </c>
      <c r="C65" s="1" t="s">
        <v>636</v>
      </c>
    </row>
    <row r="66" spans="2:3">
      <c r="B66" s="1" t="s">
        <v>664</v>
      </c>
      <c r="C66" s="1" t="s">
        <v>623</v>
      </c>
    </row>
    <row r="67" spans="2:3">
      <c r="B67" s="1" t="s">
        <v>665</v>
      </c>
      <c r="C67" s="1" t="s">
        <v>666</v>
      </c>
    </row>
    <row r="68" spans="2:3">
      <c r="B68" s="1" t="s">
        <v>667</v>
      </c>
      <c r="C68" s="1" t="s">
        <v>662</v>
      </c>
    </row>
    <row r="69" spans="2:3">
      <c r="B69" s="1" t="s">
        <v>668</v>
      </c>
      <c r="C69" s="1" t="s">
        <v>651</v>
      </c>
    </row>
    <row r="70" spans="2:3">
      <c r="B70" s="1" t="s">
        <v>669</v>
      </c>
      <c r="C70" s="1" t="s">
        <v>662</v>
      </c>
    </row>
    <row r="71" spans="2:3">
      <c r="B71" s="1" t="s">
        <v>670</v>
      </c>
      <c r="C71" s="1" t="s">
        <v>621</v>
      </c>
    </row>
    <row r="72" spans="2:3">
      <c r="B72" s="1" t="s">
        <v>671</v>
      </c>
      <c r="C72" s="1" t="s">
        <v>666</v>
      </c>
    </row>
    <row r="73" spans="2:3">
      <c r="B73" s="1" t="s">
        <v>672</v>
      </c>
      <c r="C73" s="1" t="s">
        <v>666</v>
      </c>
    </row>
    <row r="74" spans="2:3">
      <c r="B74" s="1" t="s">
        <v>673</v>
      </c>
      <c r="C74" s="1" t="s">
        <v>666</v>
      </c>
    </row>
    <row r="75" spans="2:3">
      <c r="B75" s="1" t="s">
        <v>674</v>
      </c>
      <c r="C75" s="1" t="s">
        <v>666</v>
      </c>
    </row>
    <row r="76" spans="2:3">
      <c r="B76" s="1" t="s">
        <v>675</v>
      </c>
      <c r="C76" s="1" t="s">
        <v>623</v>
      </c>
    </row>
    <row r="77" spans="2:3">
      <c r="B77" s="1" t="s">
        <v>676</v>
      </c>
      <c r="C77" s="1" t="s">
        <v>623</v>
      </c>
    </row>
    <row r="78" spans="2:3">
      <c r="B78" s="1" t="s">
        <v>677</v>
      </c>
      <c r="C78" s="1" t="s">
        <v>623</v>
      </c>
    </row>
    <row r="79" spans="2:3">
      <c r="B79" s="1" t="s">
        <v>678</v>
      </c>
      <c r="C79" s="1" t="s">
        <v>623</v>
      </c>
    </row>
    <row r="80" spans="2:3">
      <c r="B80" s="1" t="s">
        <v>679</v>
      </c>
      <c r="C80" s="1" t="s">
        <v>623</v>
      </c>
    </row>
    <row r="81" spans="2:3">
      <c r="B81" s="1" t="s">
        <v>680</v>
      </c>
      <c r="C81" s="1" t="s">
        <v>623</v>
      </c>
    </row>
    <row r="82" spans="2:3">
      <c r="B82" s="1" t="s">
        <v>681</v>
      </c>
      <c r="C82" s="1" t="s">
        <v>623</v>
      </c>
    </row>
    <row r="83" spans="2:3">
      <c r="B83" s="1" t="s">
        <v>682</v>
      </c>
      <c r="C83" s="1" t="s">
        <v>623</v>
      </c>
    </row>
    <row r="84" spans="2:3">
      <c r="B84" s="1" t="s">
        <v>683</v>
      </c>
      <c r="C84" s="1" t="s">
        <v>623</v>
      </c>
    </row>
    <row r="85" spans="2:3">
      <c r="B85" s="1" t="s">
        <v>684</v>
      </c>
      <c r="C85" s="1" t="s">
        <v>623</v>
      </c>
    </row>
    <row r="86" spans="2:3">
      <c r="B86" s="1" t="s">
        <v>685</v>
      </c>
      <c r="C86" s="1" t="s">
        <v>623</v>
      </c>
    </row>
    <row r="87" spans="2:3">
      <c r="B87" s="1" t="s">
        <v>686</v>
      </c>
      <c r="C87" s="1" t="s">
        <v>623</v>
      </c>
    </row>
    <row r="88" spans="2:3">
      <c r="B88" s="1" t="s">
        <v>687</v>
      </c>
      <c r="C88" s="1" t="s">
        <v>623</v>
      </c>
    </row>
    <row r="89" spans="2:3">
      <c r="B89" s="1" t="s">
        <v>688</v>
      </c>
      <c r="C89" s="1" t="s">
        <v>623</v>
      </c>
    </row>
    <row r="90" spans="2:3">
      <c r="B90" s="1" t="s">
        <v>689</v>
      </c>
      <c r="C90" s="1" t="s">
        <v>623</v>
      </c>
    </row>
    <row r="91" spans="2:3">
      <c r="B91" s="1" t="s">
        <v>690</v>
      </c>
      <c r="C91" s="1" t="s">
        <v>623</v>
      </c>
    </row>
    <row r="92" spans="2:3">
      <c r="B92" s="1" t="s">
        <v>691</v>
      </c>
      <c r="C92" s="1" t="s">
        <v>623</v>
      </c>
    </row>
    <row r="93" spans="2:3">
      <c r="B93" s="1" t="s">
        <v>692</v>
      </c>
      <c r="C93" s="1" t="s">
        <v>623</v>
      </c>
    </row>
    <row r="94" spans="2:3">
      <c r="B94" s="1" t="s">
        <v>693</v>
      </c>
      <c r="C94" s="1" t="s">
        <v>623</v>
      </c>
    </row>
    <row r="95" spans="2:3">
      <c r="B95" s="1" t="s">
        <v>694</v>
      </c>
      <c r="C95" s="1" t="s">
        <v>623</v>
      </c>
    </row>
    <row r="96" spans="2:3">
      <c r="B96" s="1" t="s">
        <v>695</v>
      </c>
      <c r="C96" s="1" t="s">
        <v>623</v>
      </c>
    </row>
    <row r="97" spans="2:3">
      <c r="B97" s="1" t="s">
        <v>696</v>
      </c>
      <c r="C97" s="1" t="s">
        <v>623</v>
      </c>
    </row>
    <row r="98" spans="2:3">
      <c r="B98" s="1" t="s">
        <v>697</v>
      </c>
      <c r="C98" s="1" t="s">
        <v>623</v>
      </c>
    </row>
    <row r="99" spans="2:3">
      <c r="B99" s="1" t="s">
        <v>698</v>
      </c>
      <c r="C99" s="1" t="s">
        <v>623</v>
      </c>
    </row>
    <row r="100" spans="2:3">
      <c r="B100" s="1" t="s">
        <v>699</v>
      </c>
      <c r="C100" s="1" t="s">
        <v>623</v>
      </c>
    </row>
    <row r="101" spans="2:3">
      <c r="B101" s="1" t="s">
        <v>700</v>
      </c>
      <c r="C101" s="1" t="s">
        <v>623</v>
      </c>
    </row>
    <row r="102" spans="2:3">
      <c r="B102" s="1" t="s">
        <v>701</v>
      </c>
      <c r="C102" s="1" t="s">
        <v>623</v>
      </c>
    </row>
    <row r="103" spans="2:3">
      <c r="B103" s="1" t="s">
        <v>702</v>
      </c>
      <c r="C103" s="1" t="s">
        <v>623</v>
      </c>
    </row>
    <row r="104" spans="2:3">
      <c r="B104" s="1" t="s">
        <v>703</v>
      </c>
      <c r="C104" s="1" t="s">
        <v>623</v>
      </c>
    </row>
    <row r="105" spans="2:3">
      <c r="B105" s="1" t="s">
        <v>704</v>
      </c>
      <c r="C105" s="1" t="s">
        <v>623</v>
      </c>
    </row>
    <row r="106" spans="2:3">
      <c r="B106" s="1" t="s">
        <v>705</v>
      </c>
      <c r="C106" s="1" t="s">
        <v>623</v>
      </c>
    </row>
    <row r="107" spans="2:3">
      <c r="B107" s="1" t="s">
        <v>706</v>
      </c>
      <c r="C107" s="1" t="s">
        <v>623</v>
      </c>
    </row>
    <row r="108" spans="2:3">
      <c r="B108" s="1" t="s">
        <v>707</v>
      </c>
      <c r="C108" s="1" t="s">
        <v>623</v>
      </c>
    </row>
    <row r="109" spans="2:3">
      <c r="B109" s="1" t="s">
        <v>708</v>
      </c>
      <c r="C109" s="1" t="s">
        <v>623</v>
      </c>
    </row>
    <row r="110" spans="2:3">
      <c r="B110" s="1" t="s">
        <v>709</v>
      </c>
      <c r="C110" s="1" t="s">
        <v>623</v>
      </c>
    </row>
    <row r="111" spans="2:3">
      <c r="B111" s="1" t="s">
        <v>710</v>
      </c>
      <c r="C111" s="1" t="s">
        <v>623</v>
      </c>
    </row>
    <row r="112" spans="2:3">
      <c r="B112" s="1" t="s">
        <v>711</v>
      </c>
      <c r="C112" s="1" t="s">
        <v>623</v>
      </c>
    </row>
    <row r="113" spans="2:3">
      <c r="B113" s="1" t="s">
        <v>712</v>
      </c>
      <c r="C113" s="1" t="s">
        <v>623</v>
      </c>
    </row>
    <row r="114" spans="2:3">
      <c r="B114" s="1" t="s">
        <v>713</v>
      </c>
      <c r="C114" s="1" t="s">
        <v>623</v>
      </c>
    </row>
    <row r="115" spans="2:3">
      <c r="B115" s="1" t="s">
        <v>714</v>
      </c>
      <c r="C115" s="1" t="s">
        <v>629</v>
      </c>
    </row>
    <row r="116" spans="2:3">
      <c r="B116" s="1" t="s">
        <v>715</v>
      </c>
      <c r="C116" s="1" t="s">
        <v>629</v>
      </c>
    </row>
    <row r="117" spans="2:3">
      <c r="B117" s="1" t="s">
        <v>716</v>
      </c>
      <c r="C117" s="1" t="s">
        <v>629</v>
      </c>
    </row>
    <row r="118" spans="2:3">
      <c r="B118" s="1" t="s">
        <v>717</v>
      </c>
      <c r="C118" s="1" t="s">
        <v>629</v>
      </c>
    </row>
    <row r="119" spans="2:3">
      <c r="B119" s="1" t="s">
        <v>718</v>
      </c>
      <c r="C119" s="1" t="s">
        <v>629</v>
      </c>
    </row>
    <row r="120" spans="2:3">
      <c r="B120" s="1" t="s">
        <v>719</v>
      </c>
      <c r="C120" s="1" t="s">
        <v>629</v>
      </c>
    </row>
    <row r="121" spans="2:3">
      <c r="B121" s="1" t="s">
        <v>720</v>
      </c>
      <c r="C121" s="1" t="s">
        <v>629</v>
      </c>
    </row>
    <row r="122" spans="2:3">
      <c r="B122" s="1" t="s">
        <v>721</v>
      </c>
      <c r="C122" s="1" t="s">
        <v>629</v>
      </c>
    </row>
    <row r="123" spans="2:3">
      <c r="B123" s="1" t="s">
        <v>722</v>
      </c>
      <c r="C123" s="1" t="s">
        <v>629</v>
      </c>
    </row>
    <row r="124" spans="2:3">
      <c r="B124" s="1" t="s">
        <v>723</v>
      </c>
      <c r="C124" s="1" t="s">
        <v>629</v>
      </c>
    </row>
    <row r="125" spans="2:3">
      <c r="B125" s="1" t="s">
        <v>724</v>
      </c>
      <c r="C125" s="1" t="s">
        <v>629</v>
      </c>
    </row>
    <row r="126" spans="2:3">
      <c r="B126" s="1" t="s">
        <v>725</v>
      </c>
      <c r="C126" s="1" t="s">
        <v>629</v>
      </c>
    </row>
    <row r="127" spans="2:3">
      <c r="B127" s="1" t="s">
        <v>726</v>
      </c>
      <c r="C127" s="1" t="s">
        <v>629</v>
      </c>
    </row>
    <row r="128" spans="2:3">
      <c r="B128" s="1" t="s">
        <v>727</v>
      </c>
      <c r="C128" s="1" t="s">
        <v>629</v>
      </c>
    </row>
    <row r="129" spans="2:3">
      <c r="B129" s="1" t="s">
        <v>728</v>
      </c>
      <c r="C129" s="1" t="s">
        <v>629</v>
      </c>
    </row>
    <row r="130" spans="2:3">
      <c r="B130" s="1" t="s">
        <v>729</v>
      </c>
      <c r="C130" s="1" t="s">
        <v>629</v>
      </c>
    </row>
    <row r="131" spans="2:3">
      <c r="B131" s="1" t="s">
        <v>730</v>
      </c>
      <c r="C131" s="1" t="s">
        <v>629</v>
      </c>
    </row>
    <row r="132" spans="2:3">
      <c r="B132" s="1" t="s">
        <v>731</v>
      </c>
      <c r="C132" s="1" t="s">
        <v>629</v>
      </c>
    </row>
    <row r="133" spans="2:3">
      <c r="B133" s="1" t="s">
        <v>732</v>
      </c>
      <c r="C133" s="1" t="s">
        <v>629</v>
      </c>
    </row>
    <row r="134" spans="2:3">
      <c r="B134" s="1" t="s">
        <v>733</v>
      </c>
      <c r="C134" s="1" t="s">
        <v>629</v>
      </c>
    </row>
    <row r="135" spans="2:3">
      <c r="B135" s="1" t="s">
        <v>734</v>
      </c>
      <c r="C135" s="1" t="s">
        <v>662</v>
      </c>
    </row>
    <row r="136" spans="2:3">
      <c r="B136" s="1" t="s">
        <v>735</v>
      </c>
      <c r="C136" s="1" t="s">
        <v>662</v>
      </c>
    </row>
    <row r="137" spans="2:3">
      <c r="B137" s="1" t="s">
        <v>736</v>
      </c>
      <c r="C137" s="1" t="s">
        <v>662</v>
      </c>
    </row>
    <row r="138" spans="2:3">
      <c r="B138" s="1" t="s">
        <v>737</v>
      </c>
      <c r="C138" s="1" t="s">
        <v>662</v>
      </c>
    </row>
    <row r="139" spans="2:3">
      <c r="B139" s="1" t="s">
        <v>738</v>
      </c>
      <c r="C139" s="1" t="s">
        <v>662</v>
      </c>
    </row>
    <row r="140" spans="2:3">
      <c r="B140" s="1" t="s">
        <v>739</v>
      </c>
      <c r="C140" s="1" t="s">
        <v>662</v>
      </c>
    </row>
    <row r="141" spans="2:3">
      <c r="B141" s="1" t="s">
        <v>740</v>
      </c>
      <c r="C141" s="1" t="s">
        <v>662</v>
      </c>
    </row>
    <row r="142" spans="2:3">
      <c r="B142" s="1" t="s">
        <v>741</v>
      </c>
      <c r="C142" s="1" t="s">
        <v>662</v>
      </c>
    </row>
    <row r="143" spans="2:3">
      <c r="B143" s="1" t="s">
        <v>742</v>
      </c>
      <c r="C143" s="1" t="s">
        <v>662</v>
      </c>
    </row>
    <row r="144" spans="2:3">
      <c r="B144" s="1" t="s">
        <v>743</v>
      </c>
      <c r="C144" s="1" t="s">
        <v>662</v>
      </c>
    </row>
    <row r="145" spans="2:3">
      <c r="B145" s="1" t="s">
        <v>744</v>
      </c>
      <c r="C145" s="1" t="s">
        <v>662</v>
      </c>
    </row>
    <row r="146" spans="2:3">
      <c r="B146" s="1" t="s">
        <v>745</v>
      </c>
      <c r="C146" s="1" t="s">
        <v>636</v>
      </c>
    </row>
    <row r="147" spans="2:3">
      <c r="B147" s="1" t="s">
        <v>746</v>
      </c>
      <c r="C147" s="1" t="s">
        <v>636</v>
      </c>
    </row>
    <row r="148" spans="2:3">
      <c r="B148" s="1" t="s">
        <v>747</v>
      </c>
      <c r="C148" s="1" t="s">
        <v>636</v>
      </c>
    </row>
    <row r="149" spans="2:3">
      <c r="B149" s="1" t="s">
        <v>748</v>
      </c>
      <c r="C149" s="1" t="s">
        <v>636</v>
      </c>
    </row>
    <row r="150" spans="2:3">
      <c r="B150" s="1" t="s">
        <v>749</v>
      </c>
      <c r="C150" s="1" t="s">
        <v>636</v>
      </c>
    </row>
    <row r="151" spans="2:3">
      <c r="B151" s="1" t="s">
        <v>750</v>
      </c>
      <c r="C151" s="1" t="s">
        <v>636</v>
      </c>
    </row>
    <row r="152" spans="2:3">
      <c r="B152" s="1" t="s">
        <v>751</v>
      </c>
      <c r="C152" s="1" t="s">
        <v>636</v>
      </c>
    </row>
    <row r="153" spans="2:3">
      <c r="B153" s="1" t="s">
        <v>752</v>
      </c>
      <c r="C153" s="1" t="s">
        <v>636</v>
      </c>
    </row>
    <row r="154" spans="2:3">
      <c r="B154" s="1" t="s">
        <v>753</v>
      </c>
      <c r="C154" s="1" t="s">
        <v>636</v>
      </c>
    </row>
    <row r="155" spans="2:3">
      <c r="B155" s="1" t="s">
        <v>754</v>
      </c>
      <c r="C155" s="1" t="s">
        <v>636</v>
      </c>
    </row>
    <row r="156" spans="2:3">
      <c r="B156" s="1" t="s">
        <v>755</v>
      </c>
      <c r="C156" s="1" t="s">
        <v>636</v>
      </c>
    </row>
    <row r="157" spans="2:3">
      <c r="B157" s="1" t="s">
        <v>756</v>
      </c>
      <c r="C157" s="1" t="s">
        <v>636</v>
      </c>
    </row>
    <row r="158" spans="2:3">
      <c r="B158" s="1" t="s">
        <v>757</v>
      </c>
      <c r="C158" s="1" t="s">
        <v>636</v>
      </c>
    </row>
    <row r="159" spans="2:3">
      <c r="B159" s="1" t="s">
        <v>758</v>
      </c>
      <c r="C159" s="1" t="s">
        <v>636</v>
      </c>
    </row>
    <row r="160" spans="2:3">
      <c r="B160" s="1" t="s">
        <v>759</v>
      </c>
      <c r="C160" s="1" t="s">
        <v>636</v>
      </c>
    </row>
    <row r="161" spans="2:3">
      <c r="B161" s="1" t="s">
        <v>760</v>
      </c>
      <c r="C161" s="1" t="s">
        <v>636</v>
      </c>
    </row>
    <row r="162" spans="2:3">
      <c r="B162" s="1" t="s">
        <v>761</v>
      </c>
      <c r="C162" s="1" t="s">
        <v>636</v>
      </c>
    </row>
    <row r="163" spans="2:3">
      <c r="B163" s="1" t="s">
        <v>762</v>
      </c>
      <c r="C163" s="1" t="s">
        <v>636</v>
      </c>
    </row>
    <row r="164" spans="2:3">
      <c r="B164" s="1" t="s">
        <v>763</v>
      </c>
      <c r="C164" s="1" t="s">
        <v>636</v>
      </c>
    </row>
    <row r="165" spans="2:3">
      <c r="B165" s="1" t="s">
        <v>764</v>
      </c>
      <c r="C165" s="1" t="s">
        <v>636</v>
      </c>
    </row>
    <row r="166" spans="2:3">
      <c r="B166" s="1" t="s">
        <v>765</v>
      </c>
      <c r="C166" s="1" t="s">
        <v>636</v>
      </c>
    </row>
    <row r="167" spans="2:3">
      <c r="B167" s="1" t="s">
        <v>766</v>
      </c>
      <c r="C167" s="1" t="s">
        <v>636</v>
      </c>
    </row>
    <row r="168" spans="2:3">
      <c r="B168" s="1" t="s">
        <v>767</v>
      </c>
      <c r="C168" s="1" t="s">
        <v>636</v>
      </c>
    </row>
    <row r="169" spans="2:3">
      <c r="B169" s="1" t="s">
        <v>768</v>
      </c>
      <c r="C169" s="1" t="s">
        <v>636</v>
      </c>
    </row>
    <row r="170" spans="2:3">
      <c r="B170" s="1" t="s">
        <v>769</v>
      </c>
      <c r="C170" s="1" t="s">
        <v>636</v>
      </c>
    </row>
    <row r="171" spans="2:3">
      <c r="B171" s="1" t="s">
        <v>770</v>
      </c>
      <c r="C171" s="1" t="s">
        <v>636</v>
      </c>
    </row>
    <row r="172" spans="2:3">
      <c r="B172" s="1" t="s">
        <v>771</v>
      </c>
      <c r="C172" s="1" t="s">
        <v>636</v>
      </c>
    </row>
    <row r="173" spans="2:3">
      <c r="B173" s="1" t="s">
        <v>772</v>
      </c>
      <c r="C173" s="1" t="s">
        <v>636</v>
      </c>
    </row>
    <row r="174" spans="2:3">
      <c r="B174" s="1" t="s">
        <v>773</v>
      </c>
      <c r="C174" s="1" t="s">
        <v>636</v>
      </c>
    </row>
    <row r="175" spans="2:3">
      <c r="B175" s="1" t="s">
        <v>774</v>
      </c>
      <c r="C175" s="1" t="s">
        <v>636</v>
      </c>
    </row>
    <row r="176" spans="2:3">
      <c r="B176" s="1" t="s">
        <v>775</v>
      </c>
      <c r="C176" s="1" t="s">
        <v>636</v>
      </c>
    </row>
    <row r="177" spans="2:3">
      <c r="B177" s="1" t="s">
        <v>776</v>
      </c>
      <c r="C177" s="1" t="s">
        <v>636</v>
      </c>
    </row>
    <row r="178" spans="2:3">
      <c r="B178" s="1" t="s">
        <v>777</v>
      </c>
      <c r="C178" s="1" t="s">
        <v>636</v>
      </c>
    </row>
    <row r="179" spans="2:3">
      <c r="B179" s="1" t="s">
        <v>778</v>
      </c>
      <c r="C179" s="1" t="s">
        <v>636</v>
      </c>
    </row>
    <row r="180" spans="2:3">
      <c r="B180" s="1" t="s">
        <v>779</v>
      </c>
      <c r="C180" s="1" t="s">
        <v>636</v>
      </c>
    </row>
    <row r="181" spans="2:3">
      <c r="B181" s="1" t="s">
        <v>780</v>
      </c>
      <c r="C181" s="1" t="s">
        <v>636</v>
      </c>
    </row>
    <row r="182" spans="2:3">
      <c r="B182" s="1" t="s">
        <v>781</v>
      </c>
      <c r="C182" s="1" t="s">
        <v>636</v>
      </c>
    </row>
    <row r="183" spans="2:3">
      <c r="B183" s="1" t="s">
        <v>782</v>
      </c>
      <c r="C183" s="1" t="s">
        <v>636</v>
      </c>
    </row>
    <row r="184" spans="2:3">
      <c r="B184" s="1" t="s">
        <v>783</v>
      </c>
      <c r="C184" s="1" t="s">
        <v>636</v>
      </c>
    </row>
    <row r="185" spans="2:3">
      <c r="B185" s="1" t="s">
        <v>784</v>
      </c>
      <c r="C185" s="1" t="s">
        <v>636</v>
      </c>
    </row>
    <row r="186" spans="2:3">
      <c r="B186" s="1" t="s">
        <v>785</v>
      </c>
      <c r="C186" s="1" t="s">
        <v>636</v>
      </c>
    </row>
    <row r="187" spans="2:3">
      <c r="B187" s="1" t="s">
        <v>786</v>
      </c>
      <c r="C187" s="1" t="s">
        <v>636</v>
      </c>
    </row>
    <row r="188" spans="2:3">
      <c r="B188" s="1" t="s">
        <v>787</v>
      </c>
      <c r="C188" s="1" t="s">
        <v>636</v>
      </c>
    </row>
    <row r="189" spans="2:3">
      <c r="B189" s="1" t="s">
        <v>788</v>
      </c>
      <c r="C189" s="1" t="s">
        <v>636</v>
      </c>
    </row>
    <row r="190" spans="2:3">
      <c r="B190" s="1" t="s">
        <v>789</v>
      </c>
      <c r="C190" s="1" t="s">
        <v>636</v>
      </c>
    </row>
    <row r="191" spans="2:3">
      <c r="B191" s="1" t="s">
        <v>790</v>
      </c>
      <c r="C191" s="1" t="s">
        <v>636</v>
      </c>
    </row>
    <row r="192" spans="2:3">
      <c r="B192" s="1" t="s">
        <v>791</v>
      </c>
      <c r="C192" s="1" t="s">
        <v>636</v>
      </c>
    </row>
    <row r="193" spans="2:3">
      <c r="B193" s="1" t="s">
        <v>792</v>
      </c>
      <c r="C193" s="1" t="s">
        <v>636</v>
      </c>
    </row>
    <row r="194" spans="2:3">
      <c r="B194" s="1" t="s">
        <v>793</v>
      </c>
      <c r="C194" s="1" t="s">
        <v>636</v>
      </c>
    </row>
    <row r="195" spans="2:3">
      <c r="B195" s="1" t="s">
        <v>794</v>
      </c>
      <c r="C195" s="1" t="s">
        <v>636</v>
      </c>
    </row>
    <row r="196" spans="2:3">
      <c r="B196" s="1" t="s">
        <v>795</v>
      </c>
      <c r="C196" s="1" t="s">
        <v>636</v>
      </c>
    </row>
    <row r="197" spans="2:3">
      <c r="B197" s="1" t="s">
        <v>796</v>
      </c>
      <c r="C197" s="1" t="s">
        <v>797</v>
      </c>
    </row>
    <row r="198" spans="2:3">
      <c r="B198" s="1" t="s">
        <v>798</v>
      </c>
      <c r="C198" s="1" t="s">
        <v>797</v>
      </c>
    </row>
    <row r="199" spans="2:3">
      <c r="B199" s="1" t="s">
        <v>799</v>
      </c>
      <c r="C199" s="1" t="s">
        <v>797</v>
      </c>
    </row>
    <row r="200" spans="2:3">
      <c r="B200" s="1" t="s">
        <v>800</v>
      </c>
      <c r="C200" s="1" t="s">
        <v>797</v>
      </c>
    </row>
    <row r="201" spans="2:3">
      <c r="B201" s="1" t="s">
        <v>801</v>
      </c>
      <c r="C201" s="1" t="s">
        <v>797</v>
      </c>
    </row>
    <row r="202" spans="2:3">
      <c r="B202" s="1" t="s">
        <v>802</v>
      </c>
      <c r="C202" s="1" t="s">
        <v>797</v>
      </c>
    </row>
    <row r="203" spans="2:3">
      <c r="B203" s="1" t="s">
        <v>803</v>
      </c>
      <c r="C203" s="1" t="s">
        <v>797</v>
      </c>
    </row>
    <row r="204" spans="2:3">
      <c r="B204" s="1" t="s">
        <v>804</v>
      </c>
      <c r="C204" s="1" t="s">
        <v>797</v>
      </c>
    </row>
    <row r="205" spans="2:3">
      <c r="B205" s="1" t="s">
        <v>805</v>
      </c>
      <c r="C205" s="1" t="s">
        <v>797</v>
      </c>
    </row>
    <row r="206" spans="2:3">
      <c r="B206" s="1" t="s">
        <v>806</v>
      </c>
      <c r="C206" s="1" t="s">
        <v>797</v>
      </c>
    </row>
    <row r="207" spans="2:3">
      <c r="B207" s="1" t="s">
        <v>807</v>
      </c>
      <c r="C207" s="1" t="s">
        <v>797</v>
      </c>
    </row>
    <row r="208" spans="2:3">
      <c r="B208" s="1" t="s">
        <v>808</v>
      </c>
      <c r="C208" s="1" t="s">
        <v>797</v>
      </c>
    </row>
    <row r="209" spans="2:3">
      <c r="B209" s="1" t="s">
        <v>809</v>
      </c>
      <c r="C209" s="1" t="s">
        <v>797</v>
      </c>
    </row>
    <row r="210" spans="2:3">
      <c r="B210" s="1" t="s">
        <v>810</v>
      </c>
      <c r="C210" s="1" t="s">
        <v>797</v>
      </c>
    </row>
    <row r="211" spans="2:3">
      <c r="B211" s="1" t="s">
        <v>811</v>
      </c>
      <c r="C211" s="1" t="s">
        <v>797</v>
      </c>
    </row>
    <row r="212" spans="2:3">
      <c r="B212" s="1" t="s">
        <v>812</v>
      </c>
      <c r="C212" s="1" t="s">
        <v>797</v>
      </c>
    </row>
    <row r="213" spans="2:3">
      <c r="B213" s="1" t="s">
        <v>813</v>
      </c>
      <c r="C213" s="1" t="s">
        <v>797</v>
      </c>
    </row>
    <row r="214" spans="2:3">
      <c r="B214" s="1" t="s">
        <v>814</v>
      </c>
      <c r="C214" s="1" t="s">
        <v>797</v>
      </c>
    </row>
    <row r="215" spans="2:3">
      <c r="B215" s="1" t="s">
        <v>815</v>
      </c>
      <c r="C215" s="1" t="s">
        <v>797</v>
      </c>
    </row>
    <row r="216" spans="2:3">
      <c r="B216" s="1" t="s">
        <v>816</v>
      </c>
      <c r="C216" s="1" t="s">
        <v>797</v>
      </c>
    </row>
    <row r="217" spans="2:3">
      <c r="B217" s="1" t="s">
        <v>817</v>
      </c>
      <c r="C217" s="1" t="s">
        <v>797</v>
      </c>
    </row>
    <row r="218" spans="2:3">
      <c r="B218" s="1" t="s">
        <v>818</v>
      </c>
      <c r="C218" s="1" t="s">
        <v>797</v>
      </c>
    </row>
    <row r="219" spans="2:3">
      <c r="B219" s="1" t="s">
        <v>819</v>
      </c>
      <c r="C219" s="1" t="s">
        <v>797</v>
      </c>
    </row>
    <row r="220" spans="2:3">
      <c r="B220" s="1" t="s">
        <v>820</v>
      </c>
      <c r="C220" s="1" t="s">
        <v>797</v>
      </c>
    </row>
    <row r="221" spans="2:3">
      <c r="B221" s="1" t="s">
        <v>821</v>
      </c>
      <c r="C221" s="1" t="s">
        <v>797</v>
      </c>
    </row>
    <row r="222" spans="2:3">
      <c r="B222" s="1" t="s">
        <v>822</v>
      </c>
      <c r="C222" s="1" t="s">
        <v>647</v>
      </c>
    </row>
    <row r="223" spans="2:3">
      <c r="B223" s="1" t="s">
        <v>823</v>
      </c>
      <c r="C223" s="1" t="s">
        <v>647</v>
      </c>
    </row>
    <row r="224" spans="2:3">
      <c r="B224" s="1" t="s">
        <v>824</v>
      </c>
      <c r="C224" s="1" t="s">
        <v>647</v>
      </c>
    </row>
    <row r="225" spans="2:3">
      <c r="B225" s="1" t="s">
        <v>825</v>
      </c>
      <c r="C225" s="1" t="s">
        <v>647</v>
      </c>
    </row>
    <row r="226" spans="2:3">
      <c r="B226" s="1" t="s">
        <v>826</v>
      </c>
      <c r="C226" s="1" t="s">
        <v>647</v>
      </c>
    </row>
    <row r="227" spans="2:3">
      <c r="B227" s="1" t="s">
        <v>827</v>
      </c>
      <c r="C227" s="1" t="s">
        <v>647</v>
      </c>
    </row>
    <row r="228" spans="2:3">
      <c r="B228" s="1" t="s">
        <v>828</v>
      </c>
      <c r="C228" s="1" t="s">
        <v>647</v>
      </c>
    </row>
    <row r="229" spans="2:3">
      <c r="B229" s="1" t="s">
        <v>829</v>
      </c>
      <c r="C229" s="1" t="s">
        <v>647</v>
      </c>
    </row>
    <row r="230" spans="2:3">
      <c r="B230" s="1" t="s">
        <v>830</v>
      </c>
      <c r="C230" s="1" t="s">
        <v>647</v>
      </c>
    </row>
    <row r="231" spans="2:3">
      <c r="B231" s="1" t="s">
        <v>831</v>
      </c>
      <c r="C231" s="1" t="s">
        <v>647</v>
      </c>
    </row>
    <row r="232" spans="2:3">
      <c r="B232" s="1" t="s">
        <v>832</v>
      </c>
      <c r="C232" s="1" t="s">
        <v>647</v>
      </c>
    </row>
    <row r="233" spans="2:3">
      <c r="B233" s="1" t="s">
        <v>833</v>
      </c>
      <c r="C233" s="1" t="s">
        <v>647</v>
      </c>
    </row>
    <row r="234" spans="2:3">
      <c r="B234" s="1" t="s">
        <v>834</v>
      </c>
      <c r="C234" s="1" t="s">
        <v>647</v>
      </c>
    </row>
    <row r="235" spans="2:3">
      <c r="B235" s="1" t="s">
        <v>835</v>
      </c>
      <c r="C235" s="1" t="s">
        <v>647</v>
      </c>
    </row>
    <row r="236" spans="2:3">
      <c r="B236" s="1" t="s">
        <v>836</v>
      </c>
      <c r="C236" s="1" t="s">
        <v>647</v>
      </c>
    </row>
    <row r="237" spans="2:3">
      <c r="B237" s="1" t="s">
        <v>837</v>
      </c>
      <c r="C237" s="1" t="s">
        <v>647</v>
      </c>
    </row>
    <row r="238" spans="2:3">
      <c r="B238" s="1" t="s">
        <v>838</v>
      </c>
      <c r="C238" s="1" t="s">
        <v>647</v>
      </c>
    </row>
    <row r="239" spans="2:3">
      <c r="B239" s="1" t="s">
        <v>839</v>
      </c>
      <c r="C239" s="1" t="s">
        <v>647</v>
      </c>
    </row>
    <row r="240" spans="2:3">
      <c r="B240" s="1" t="s">
        <v>840</v>
      </c>
      <c r="C240" s="1" t="s">
        <v>666</v>
      </c>
    </row>
    <row r="241" spans="2:3">
      <c r="B241" s="1" t="s">
        <v>841</v>
      </c>
      <c r="C241" s="1" t="s">
        <v>666</v>
      </c>
    </row>
    <row r="242" spans="2:3">
      <c r="B242" s="1" t="s">
        <v>842</v>
      </c>
      <c r="C242" s="1" t="s">
        <v>666</v>
      </c>
    </row>
    <row r="243" spans="2:3">
      <c r="B243" s="1" t="s">
        <v>843</v>
      </c>
      <c r="C243" s="1" t="s">
        <v>666</v>
      </c>
    </row>
    <row r="244" spans="2:3">
      <c r="B244" s="1" t="s">
        <v>844</v>
      </c>
      <c r="C244" s="1" t="s">
        <v>666</v>
      </c>
    </row>
    <row r="245" spans="2:3">
      <c r="B245" s="1" t="s">
        <v>845</v>
      </c>
      <c r="C245" s="1" t="s">
        <v>666</v>
      </c>
    </row>
    <row r="246" spans="2:3">
      <c r="B246" s="1" t="s">
        <v>846</v>
      </c>
      <c r="C246" s="1" t="s">
        <v>666</v>
      </c>
    </row>
    <row r="247" spans="2:3">
      <c r="B247" s="1" t="s">
        <v>847</v>
      </c>
      <c r="C247" s="1" t="s">
        <v>666</v>
      </c>
    </row>
    <row r="248" spans="2:3">
      <c r="B248" s="1" t="s">
        <v>848</v>
      </c>
      <c r="C248" s="1" t="s">
        <v>666</v>
      </c>
    </row>
    <row r="249" spans="2:3">
      <c r="B249" s="1" t="s">
        <v>849</v>
      </c>
      <c r="C249" s="1" t="s">
        <v>666</v>
      </c>
    </row>
    <row r="250" spans="2:3">
      <c r="B250" s="1" t="s">
        <v>850</v>
      </c>
      <c r="C250" s="1" t="s">
        <v>666</v>
      </c>
    </row>
    <row r="251" spans="2:3">
      <c r="B251" s="1" t="s">
        <v>851</v>
      </c>
      <c r="C251" s="1" t="s">
        <v>666</v>
      </c>
    </row>
    <row r="252" spans="2:3">
      <c r="B252" s="1" t="s">
        <v>852</v>
      </c>
      <c r="C252" s="1" t="s">
        <v>666</v>
      </c>
    </row>
    <row r="253" spans="2:3">
      <c r="B253" s="1" t="s">
        <v>853</v>
      </c>
      <c r="C253" s="1" t="s">
        <v>666</v>
      </c>
    </row>
    <row r="254" spans="2:3">
      <c r="B254" s="1" t="s">
        <v>854</v>
      </c>
      <c r="C254" s="1" t="s">
        <v>666</v>
      </c>
    </row>
    <row r="255" spans="2:3">
      <c r="B255" s="1" t="s">
        <v>855</v>
      </c>
      <c r="C255" s="1" t="s">
        <v>666</v>
      </c>
    </row>
    <row r="256" spans="2:3">
      <c r="B256" s="1" t="s">
        <v>856</v>
      </c>
      <c r="C256" s="1" t="s">
        <v>666</v>
      </c>
    </row>
    <row r="257" spans="2:3">
      <c r="B257" s="1" t="s">
        <v>857</v>
      </c>
      <c r="C257" s="1" t="s">
        <v>666</v>
      </c>
    </row>
    <row r="258" spans="2:3">
      <c r="B258" s="1" t="s">
        <v>858</v>
      </c>
      <c r="C258" s="1" t="s">
        <v>666</v>
      </c>
    </row>
    <row r="259" spans="2:3">
      <c r="B259" s="1" t="s">
        <v>859</v>
      </c>
      <c r="C259" s="1" t="s">
        <v>666</v>
      </c>
    </row>
    <row r="260" spans="2:3">
      <c r="B260" s="1" t="s">
        <v>860</v>
      </c>
      <c r="C260" s="1" t="s">
        <v>666</v>
      </c>
    </row>
    <row r="261" spans="2:3">
      <c r="B261" s="1" t="s">
        <v>861</v>
      </c>
      <c r="C261" s="1" t="s">
        <v>666</v>
      </c>
    </row>
    <row r="262" spans="2:3">
      <c r="B262" s="1" t="s">
        <v>862</v>
      </c>
      <c r="C262" s="1" t="s">
        <v>666</v>
      </c>
    </row>
    <row r="263" spans="2:3">
      <c r="B263" s="1" t="s">
        <v>863</v>
      </c>
      <c r="C263" s="1" t="s">
        <v>666</v>
      </c>
    </row>
    <row r="264" spans="2:3">
      <c r="B264" s="1" t="s">
        <v>864</v>
      </c>
      <c r="C264" s="1" t="s">
        <v>666</v>
      </c>
    </row>
    <row r="265" spans="2:3">
      <c r="B265" s="1" t="s">
        <v>865</v>
      </c>
      <c r="C265" s="1" t="s">
        <v>666</v>
      </c>
    </row>
    <row r="266" spans="2:3">
      <c r="B266" s="1" t="s">
        <v>866</v>
      </c>
      <c r="C266" s="1" t="s">
        <v>666</v>
      </c>
    </row>
    <row r="267" spans="2:3">
      <c r="B267" s="1" t="s">
        <v>867</v>
      </c>
      <c r="C267" s="1" t="s">
        <v>656</v>
      </c>
    </row>
    <row r="268" spans="2:3">
      <c r="B268" s="1" t="s">
        <v>868</v>
      </c>
      <c r="C268" s="1" t="s">
        <v>656</v>
      </c>
    </row>
    <row r="269" spans="2:3">
      <c r="B269" s="1" t="s">
        <v>869</v>
      </c>
      <c r="C269" s="1" t="s">
        <v>656</v>
      </c>
    </row>
    <row r="270" spans="2:3">
      <c r="B270" s="1" t="s">
        <v>870</v>
      </c>
      <c r="C270" s="1" t="s">
        <v>656</v>
      </c>
    </row>
    <row r="271" spans="2:3">
      <c r="B271" s="1" t="s">
        <v>871</v>
      </c>
      <c r="C271" s="1" t="s">
        <v>656</v>
      </c>
    </row>
    <row r="272" spans="2:3">
      <c r="B272" s="1" t="s">
        <v>872</v>
      </c>
      <c r="C272" s="1" t="s">
        <v>656</v>
      </c>
    </row>
    <row r="273" spans="2:3">
      <c r="B273" s="1" t="s">
        <v>873</v>
      </c>
      <c r="C273" s="1" t="s">
        <v>656</v>
      </c>
    </row>
    <row r="274" spans="2:3">
      <c r="B274" s="1" t="s">
        <v>874</v>
      </c>
      <c r="C274" s="1" t="s">
        <v>656</v>
      </c>
    </row>
    <row r="275" spans="2:3">
      <c r="B275" s="1" t="s">
        <v>875</v>
      </c>
      <c r="C275" s="1" t="s">
        <v>656</v>
      </c>
    </row>
    <row r="276" spans="2:3">
      <c r="B276" s="1" t="s">
        <v>876</v>
      </c>
      <c r="C276" s="1" t="s">
        <v>656</v>
      </c>
    </row>
    <row r="277" spans="2:3">
      <c r="B277" s="1" t="s">
        <v>877</v>
      </c>
      <c r="C277" s="1" t="s">
        <v>656</v>
      </c>
    </row>
    <row r="278" spans="2:3">
      <c r="B278" s="1" t="s">
        <v>878</v>
      </c>
      <c r="C278" s="1" t="s">
        <v>656</v>
      </c>
    </row>
    <row r="279" spans="2:3">
      <c r="B279" s="1" t="s">
        <v>879</v>
      </c>
      <c r="C279" s="1" t="s">
        <v>656</v>
      </c>
    </row>
    <row r="280" spans="2:3">
      <c r="B280" s="1" t="s">
        <v>880</v>
      </c>
      <c r="C280" s="1" t="s">
        <v>656</v>
      </c>
    </row>
    <row r="281" spans="2:3">
      <c r="B281" s="1" t="s">
        <v>881</v>
      </c>
      <c r="C281" s="1" t="s">
        <v>656</v>
      </c>
    </row>
    <row r="282" spans="2:3">
      <c r="B282" s="1" t="s">
        <v>882</v>
      </c>
      <c r="C282" s="1" t="s">
        <v>656</v>
      </c>
    </row>
    <row r="283" spans="2:3">
      <c r="B283" s="1" t="s">
        <v>883</v>
      </c>
      <c r="C283" s="1" t="s">
        <v>656</v>
      </c>
    </row>
    <row r="284" spans="2:3">
      <c r="B284" s="1" t="s">
        <v>884</v>
      </c>
      <c r="C284" s="1" t="s">
        <v>656</v>
      </c>
    </row>
    <row r="285" spans="2:3">
      <c r="B285" s="1" t="s">
        <v>885</v>
      </c>
      <c r="C285" s="1" t="s">
        <v>656</v>
      </c>
    </row>
    <row r="286" spans="2:3">
      <c r="B286" s="1" t="s">
        <v>886</v>
      </c>
      <c r="C286" s="1" t="s">
        <v>656</v>
      </c>
    </row>
    <row r="287" spans="2:3">
      <c r="B287" s="1" t="s">
        <v>887</v>
      </c>
      <c r="C287" s="1" t="s">
        <v>656</v>
      </c>
    </row>
    <row r="288" spans="2:3">
      <c r="B288" s="1" t="s">
        <v>888</v>
      </c>
      <c r="C288" s="1" t="s">
        <v>621</v>
      </c>
    </row>
    <row r="289" spans="2:3">
      <c r="B289" s="1" t="s">
        <v>889</v>
      </c>
      <c r="C289" s="1" t="s">
        <v>621</v>
      </c>
    </row>
    <row r="290" spans="2:3">
      <c r="B290" s="1" t="s">
        <v>890</v>
      </c>
      <c r="C290" s="1" t="s">
        <v>621</v>
      </c>
    </row>
    <row r="291" spans="2:3">
      <c r="B291" s="1" t="s">
        <v>891</v>
      </c>
      <c r="C291" s="1" t="s">
        <v>621</v>
      </c>
    </row>
    <row r="292" spans="2:3">
      <c r="B292" s="1" t="s">
        <v>892</v>
      </c>
      <c r="C292" s="1" t="s">
        <v>621</v>
      </c>
    </row>
    <row r="293" spans="2:3">
      <c r="B293" s="1" t="s">
        <v>893</v>
      </c>
      <c r="C293" s="1" t="s">
        <v>621</v>
      </c>
    </row>
    <row r="294" spans="2:3">
      <c r="B294" s="1" t="s">
        <v>894</v>
      </c>
      <c r="C294" s="1" t="s">
        <v>621</v>
      </c>
    </row>
    <row r="295" spans="2:3">
      <c r="B295" s="1" t="s">
        <v>895</v>
      </c>
      <c r="C295" s="1" t="s">
        <v>621</v>
      </c>
    </row>
    <row r="296" spans="2:3">
      <c r="B296" s="1" t="s">
        <v>896</v>
      </c>
      <c r="C296" s="1" t="s">
        <v>621</v>
      </c>
    </row>
    <row r="297" spans="2:3">
      <c r="B297" s="1" t="s">
        <v>897</v>
      </c>
      <c r="C297" s="1" t="s">
        <v>621</v>
      </c>
    </row>
    <row r="298" spans="2:3">
      <c r="B298" s="1" t="s">
        <v>898</v>
      </c>
      <c r="C298" s="1" t="s">
        <v>621</v>
      </c>
    </row>
    <row r="299" spans="2:3">
      <c r="B299" s="1" t="s">
        <v>899</v>
      </c>
      <c r="C299" s="1" t="s">
        <v>621</v>
      </c>
    </row>
    <row r="300" spans="2:3">
      <c r="B300" s="1" t="s">
        <v>900</v>
      </c>
      <c r="C300" s="1" t="s">
        <v>621</v>
      </c>
    </row>
    <row r="301" spans="2:3">
      <c r="B301" s="1" t="s">
        <v>901</v>
      </c>
      <c r="C301" s="1" t="s">
        <v>621</v>
      </c>
    </row>
    <row r="302" spans="2:3">
      <c r="B302" s="1" t="s">
        <v>902</v>
      </c>
      <c r="C302" s="1" t="s">
        <v>621</v>
      </c>
    </row>
    <row r="303" spans="2:3">
      <c r="B303" s="1" t="s">
        <v>903</v>
      </c>
      <c r="C303" s="1" t="s">
        <v>621</v>
      </c>
    </row>
    <row r="304" spans="2:3">
      <c r="B304" s="1" t="s">
        <v>904</v>
      </c>
      <c r="C304" s="1" t="s">
        <v>621</v>
      </c>
    </row>
    <row r="305" spans="2:3">
      <c r="B305" s="1" t="s">
        <v>905</v>
      </c>
      <c r="C305" s="1" t="s">
        <v>621</v>
      </c>
    </row>
    <row r="306" spans="2:3">
      <c r="B306" s="1" t="s">
        <v>906</v>
      </c>
      <c r="C306" s="1" t="s">
        <v>621</v>
      </c>
    </row>
    <row r="307" spans="2:3">
      <c r="B307" s="1" t="s">
        <v>907</v>
      </c>
      <c r="C307" s="1" t="s">
        <v>621</v>
      </c>
    </row>
    <row r="308" spans="2:3">
      <c r="B308" s="1" t="s">
        <v>908</v>
      </c>
      <c r="C308" s="1" t="s">
        <v>621</v>
      </c>
    </row>
    <row r="309" spans="2:3">
      <c r="B309" s="1" t="s">
        <v>909</v>
      </c>
      <c r="C309" s="1" t="s">
        <v>621</v>
      </c>
    </row>
    <row r="310" spans="2:3">
      <c r="B310" s="1" t="s">
        <v>910</v>
      </c>
      <c r="C310" s="1" t="s">
        <v>621</v>
      </c>
    </row>
    <row r="311" spans="2:3">
      <c r="B311" s="1" t="s">
        <v>911</v>
      </c>
      <c r="C311" s="1" t="s">
        <v>621</v>
      </c>
    </row>
    <row r="312" spans="2:3">
      <c r="B312" s="1" t="s">
        <v>912</v>
      </c>
      <c r="C312" s="1" t="s">
        <v>621</v>
      </c>
    </row>
  </sheetData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45" enableFormatConditionsCalculation="0">
    <tabColor indexed="44"/>
  </sheetPr>
  <dimension ref="A1:K55"/>
  <sheetViews>
    <sheetView showGridLines="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.75"/>
  <cols>
    <col min="1" max="1" width="30.7109375" style="20" customWidth="1"/>
    <col min="2" max="11" width="8.7109375" style="20" customWidth="1"/>
    <col min="12" max="12" width="7.7109375" style="20" customWidth="1"/>
    <col min="13" max="16384" width="9.140625" style="20"/>
  </cols>
  <sheetData>
    <row r="1" spans="1:11" ht="13.5">
      <c r="A1" s="424" t="str">
        <f>MEABsum&amp;" - "&amp;Date</f>
        <v xml:space="preserve"> - Table E1 Adjustments Budget Summary - 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ht="38.25">
      <c r="A2" s="316" t="str">
        <f>desc</f>
        <v>Description</v>
      </c>
      <c r="B2" s="421" t="str">
        <f ca="1">Head9</f>
        <v>Budget Year 2014/15</v>
      </c>
      <c r="C2" s="422"/>
      <c r="D2" s="422"/>
      <c r="E2" s="422"/>
      <c r="F2" s="422"/>
      <c r="G2" s="422"/>
      <c r="H2" s="422"/>
      <c r="I2" s="423"/>
      <c r="J2" s="21" t="str">
        <f ca="1">Head10</f>
        <v>Budget Year +1 2015/16</v>
      </c>
      <c r="K2" s="85" t="str">
        <f ca="1">Head11</f>
        <v>Budget Year +2 2016/17</v>
      </c>
    </row>
    <row r="3" spans="1:11" ht="25.5">
      <c r="A3" s="317"/>
      <c r="B3" s="84" t="str">
        <f>Head6</f>
        <v>Original Budget</v>
      </c>
      <c r="C3" s="84" t="str">
        <f>Head54</f>
        <v>Prior Adjusted</v>
      </c>
      <c r="D3" s="84" t="str">
        <f>Head59</f>
        <v>Downward adjusts</v>
      </c>
      <c r="E3" s="84" t="str">
        <f>Head58</f>
        <v>Parent muni.</v>
      </c>
      <c r="F3" s="84" t="str">
        <f>Head53</f>
        <v>Unfore. Unavoid.</v>
      </c>
      <c r="G3" s="84" t="str">
        <f>Head50</f>
        <v>Other Adjusts.</v>
      </c>
      <c r="H3" s="108" t="str">
        <f>Head56</f>
        <v>Total Adjusts.</v>
      </c>
      <c r="I3" s="108" t="str">
        <f>Head7</f>
        <v>Adjusted Budget</v>
      </c>
      <c r="J3" s="108" t="str">
        <f>Head7</f>
        <v>Adjusted Budget</v>
      </c>
      <c r="K3" s="164" t="str">
        <f>Head7</f>
        <v>Adjusted Budget</v>
      </c>
    </row>
    <row r="4" spans="1:11">
      <c r="A4" s="317"/>
      <c r="B4" s="131"/>
      <c r="C4" s="131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/>
      <c r="K4" s="132"/>
    </row>
    <row r="5" spans="1:11">
      <c r="A5" s="127" t="s">
        <v>199</v>
      </c>
      <c r="B5" s="129" t="s">
        <v>111</v>
      </c>
      <c r="C5" s="182" t="s">
        <v>325</v>
      </c>
      <c r="D5" s="129" t="s">
        <v>81</v>
      </c>
      <c r="E5" s="129" t="s">
        <v>37</v>
      </c>
      <c r="F5" s="133" t="s">
        <v>139</v>
      </c>
      <c r="G5" s="133" t="s">
        <v>12</v>
      </c>
      <c r="H5" s="133" t="s">
        <v>13</v>
      </c>
      <c r="I5" s="133" t="s">
        <v>14</v>
      </c>
      <c r="J5" s="137"/>
      <c r="K5" s="174"/>
    </row>
    <row r="6" spans="1:11" ht="12.75" customHeight="1">
      <c r="A6" s="175" t="s">
        <v>262</v>
      </c>
      <c r="B6" s="65"/>
      <c r="C6" s="65"/>
      <c r="D6" s="65"/>
      <c r="E6" s="65"/>
      <c r="F6" s="65"/>
      <c r="G6" s="65"/>
      <c r="H6" s="65"/>
      <c r="I6" s="65"/>
      <c r="J6" s="65"/>
      <c r="K6" s="107"/>
    </row>
    <row r="7" spans="1:11" ht="12.75" customHeight="1">
      <c r="A7" s="176" t="s">
        <v>398</v>
      </c>
      <c r="B7" s="29">
        <f>'E2-FinPerf'!C7+'E2-FinPerf'!C8</f>
        <v>0</v>
      </c>
      <c r="C7" s="29">
        <f>'E2-FinPerf'!D7+'E2-FinPerf'!D8</f>
        <v>0</v>
      </c>
      <c r="D7" s="29">
        <f>'E2-FinPerf'!E7+'E2-FinPerf'!E8</f>
        <v>0</v>
      </c>
      <c r="E7" s="29">
        <f>'E2-FinPerf'!F7+'E2-FinPerf'!F8</f>
        <v>0</v>
      </c>
      <c r="F7" s="29">
        <f>'E2-FinPerf'!G7+'E2-FinPerf'!G8</f>
        <v>0</v>
      </c>
      <c r="G7" s="29">
        <f>'E2-FinPerf'!H7+'E2-FinPerf'!H8</f>
        <v>0</v>
      </c>
      <c r="H7" s="29">
        <f>SUM(D7:G7)</f>
        <v>0</v>
      </c>
      <c r="I7" s="29">
        <f>IF(C7=0,B7+H7,C7+H7)</f>
        <v>0</v>
      </c>
      <c r="J7" s="29">
        <f>'E2-FinPerf'!K7+'E2-FinPerf'!K8</f>
        <v>0</v>
      </c>
      <c r="K7" s="87">
        <f>'E2-FinPerf'!L7+'E2-FinPerf'!L8</f>
        <v>0</v>
      </c>
    </row>
    <row r="8" spans="1:11" ht="12.75" customHeight="1">
      <c r="A8" s="176" t="s">
        <v>430</v>
      </c>
      <c r="B8" s="29">
        <f>SUM('E2-FinPerf'!C9:C13)</f>
        <v>0</v>
      </c>
      <c r="C8" s="29">
        <f>SUM('E2-FinPerf'!D9:D13)</f>
        <v>0</v>
      </c>
      <c r="D8" s="29">
        <f>SUM('E2-FinPerf'!E9:E13)</f>
        <v>0</v>
      </c>
      <c r="E8" s="29">
        <f>SUM('E2-FinPerf'!F9:F13)</f>
        <v>0</v>
      </c>
      <c r="F8" s="29">
        <f>SUM('E2-FinPerf'!G9:G13)</f>
        <v>0</v>
      </c>
      <c r="G8" s="29">
        <f>SUM('E2-FinPerf'!H9:H13)</f>
        <v>0</v>
      </c>
      <c r="H8" s="29">
        <f>SUM(D8:G8)</f>
        <v>0</v>
      </c>
      <c r="I8" s="29">
        <f>IF(C8=0,B8+H8,C8+H8)</f>
        <v>0</v>
      </c>
      <c r="J8" s="29">
        <f>SUM('E2-FinPerf'!K9:K13)</f>
        <v>0</v>
      </c>
      <c r="K8" s="87">
        <f>SUM('E2-FinPerf'!L9:L13)</f>
        <v>0</v>
      </c>
    </row>
    <row r="9" spans="1:11" ht="12.75" customHeight="1">
      <c r="A9" s="176" t="s">
        <v>60</v>
      </c>
      <c r="B9" s="29">
        <f>'E2-FinPerf'!C15</f>
        <v>0</v>
      </c>
      <c r="C9" s="29">
        <f>'E2-FinPerf'!D15</f>
        <v>0</v>
      </c>
      <c r="D9" s="29">
        <f>'E2-FinPerf'!E15</f>
        <v>0</v>
      </c>
      <c r="E9" s="29">
        <f>'E2-FinPerf'!F15</f>
        <v>0</v>
      </c>
      <c r="F9" s="29">
        <f>'E2-FinPerf'!G15</f>
        <v>0</v>
      </c>
      <c r="G9" s="29">
        <f>'E2-FinPerf'!H15</f>
        <v>0</v>
      </c>
      <c r="H9" s="29">
        <f>SUM(D9:G9)</f>
        <v>0</v>
      </c>
      <c r="I9" s="29">
        <f>IF(C9=0,B9+H9,C9+H9)</f>
        <v>0</v>
      </c>
      <c r="J9" s="29">
        <f>'E2-FinPerf'!K15</f>
        <v>0</v>
      </c>
      <c r="K9" s="87">
        <f>'E2-FinPerf'!L15</f>
        <v>0</v>
      </c>
    </row>
    <row r="10" spans="1:11" ht="12.75" customHeight="1">
      <c r="A10" s="266" t="s">
        <v>913</v>
      </c>
      <c r="B10" s="29">
        <f>'E2-FinPerf'!C21</f>
        <v>0</v>
      </c>
      <c r="C10" s="29">
        <f>'E2-FinPerf'!D21</f>
        <v>0</v>
      </c>
      <c r="D10" s="29">
        <f>'E2-FinPerf'!E21</f>
        <v>0</v>
      </c>
      <c r="E10" s="29">
        <f>'E2-FinPerf'!F21</f>
        <v>0</v>
      </c>
      <c r="F10" s="29">
        <f>'E2-FinPerf'!G21</f>
        <v>0</v>
      </c>
      <c r="G10" s="29">
        <f>'E2-FinPerf'!H21</f>
        <v>0</v>
      </c>
      <c r="H10" s="29">
        <f>SUM(D10:G10)</f>
        <v>0</v>
      </c>
      <c r="I10" s="29">
        <f>IF(C10=0,B10+H10,C10+H10)</f>
        <v>0</v>
      </c>
      <c r="J10" s="29">
        <f>'E2-FinPerf'!K21</f>
        <v>0</v>
      </c>
      <c r="K10" s="87">
        <f>'E2-FinPerf'!L21</f>
        <v>0</v>
      </c>
    </row>
    <row r="11" spans="1:11" ht="12.75" customHeight="1">
      <c r="A11" s="176" t="s">
        <v>58</v>
      </c>
      <c r="B11" s="29">
        <f>'E2-FinPerf'!C14+'E2-FinPerf'!C16+'E2-FinPerf'!C17+'E2-FinPerf'!C18+'E2-FinPerf'!C19+'E2-FinPerf'!C20+'E2-FinPerf'!C22+'E2-FinPerf'!C23</f>
        <v>5500000</v>
      </c>
      <c r="C11" s="29">
        <f>'E2-FinPerf'!D14+'E2-FinPerf'!D16+'E2-FinPerf'!D17+'E2-FinPerf'!D18+'E2-FinPerf'!D19+'E2-FinPerf'!D20+'E2-FinPerf'!D22+'E2-FinPerf'!D23</f>
        <v>5500000</v>
      </c>
      <c r="D11" s="29">
        <f>'E2-FinPerf'!E14+'E2-FinPerf'!E16+'E2-FinPerf'!E17+'E2-FinPerf'!E18+'E2-FinPerf'!E19+'E2-FinPerf'!E20+'E2-FinPerf'!E22+'E2-FinPerf'!E23</f>
        <v>0</v>
      </c>
      <c r="E11" s="29">
        <f>'E2-FinPerf'!F14+'E2-FinPerf'!F16+'E2-FinPerf'!F17+'E2-FinPerf'!F18+'E2-FinPerf'!F19+'E2-FinPerf'!F20+'E2-FinPerf'!F22+'E2-FinPerf'!F23</f>
        <v>0</v>
      </c>
      <c r="F11" s="29">
        <f>'E2-FinPerf'!G14+'E2-FinPerf'!G16+'E2-FinPerf'!G17+'E2-FinPerf'!G18+'E2-FinPerf'!G19+'E2-FinPerf'!G20+'E2-FinPerf'!G22+'E2-FinPerf'!G23</f>
        <v>0</v>
      </c>
      <c r="G11" s="29">
        <f>'E2-FinPerf'!H14+'E2-FinPerf'!H16+'E2-FinPerf'!H17+'E2-FinPerf'!H18+'E2-FinPerf'!H19+'E2-FinPerf'!H20+'E2-FinPerf'!H22+'E2-FinPerf'!H23</f>
        <v>0</v>
      </c>
      <c r="H11" s="29">
        <f>SUM(D11:G11)</f>
        <v>0</v>
      </c>
      <c r="I11" s="29">
        <f>IF(C11=0,B11+H11,C11+H11)</f>
        <v>5500000</v>
      </c>
      <c r="J11" s="29">
        <f>'E2-FinPerf'!K14+'E2-FinPerf'!K16+'E2-FinPerf'!K17+'E2-FinPerf'!K18+'E2-FinPerf'!K19+'E2-FinPerf'!K20+'E2-FinPerf'!K22+'E2-FinPerf'!K23</f>
        <v>6500000</v>
      </c>
      <c r="K11" s="87">
        <f>'E2-FinPerf'!L14+'E2-FinPerf'!L16+'E2-FinPerf'!L17+'E2-FinPerf'!L18+'E2-FinPerf'!L19+'E2-FinPerf'!L20+'E2-FinPerf'!L22+'E2-FinPerf'!L23</f>
        <v>7000000</v>
      </c>
    </row>
    <row r="12" spans="1:11" ht="24.75" customHeight="1">
      <c r="A12" s="372" t="s">
        <v>542</v>
      </c>
      <c r="B12" s="333">
        <f t="shared" ref="B12:K12" si="0">SUM(B7:B11)</f>
        <v>5500000</v>
      </c>
      <c r="C12" s="333">
        <f t="shared" si="0"/>
        <v>5500000</v>
      </c>
      <c r="D12" s="333">
        <f t="shared" si="0"/>
        <v>0</v>
      </c>
      <c r="E12" s="333">
        <f t="shared" si="0"/>
        <v>0</v>
      </c>
      <c r="F12" s="333">
        <f t="shared" si="0"/>
        <v>0</v>
      </c>
      <c r="G12" s="333">
        <f t="shared" si="0"/>
        <v>0</v>
      </c>
      <c r="H12" s="333">
        <f t="shared" si="0"/>
        <v>0</v>
      </c>
      <c r="I12" s="333">
        <f t="shared" si="0"/>
        <v>5500000</v>
      </c>
      <c r="J12" s="333">
        <f t="shared" si="0"/>
        <v>6500000</v>
      </c>
      <c r="K12" s="334">
        <f t="shared" si="0"/>
        <v>7000000</v>
      </c>
    </row>
    <row r="13" spans="1:11" ht="12.75" customHeight="1">
      <c r="A13" s="176" t="s">
        <v>36</v>
      </c>
      <c r="B13" s="30">
        <f>'E2-FinPerf'!C27</f>
        <v>3453816.49</v>
      </c>
      <c r="C13" s="29">
        <f>'E2-FinPerf'!D27</f>
        <v>3601515</v>
      </c>
      <c r="D13" s="29">
        <f>'E2-FinPerf'!E27</f>
        <v>0</v>
      </c>
      <c r="E13" s="29">
        <f>'E2-FinPerf'!F27</f>
        <v>0</v>
      </c>
      <c r="F13" s="29">
        <f>'E2-FinPerf'!G27</f>
        <v>0</v>
      </c>
      <c r="G13" s="29">
        <f>'E2-FinPerf'!H27</f>
        <v>0</v>
      </c>
      <c r="H13" s="29">
        <f t="shared" ref="H13:H19" si="1">SUM(D13:G13)</f>
        <v>0</v>
      </c>
      <c r="I13" s="29">
        <f t="shared" ref="I13:I19" si="2">IF(C13=0,B13+H13,C13+H13)</f>
        <v>3601515</v>
      </c>
      <c r="J13" s="29">
        <f>'E2-FinPerf'!K27</f>
        <v>3882176</v>
      </c>
      <c r="K13" s="87">
        <f>'E2-FinPerf'!L27</f>
        <v>4183057</v>
      </c>
    </row>
    <row r="14" spans="1:11" ht="12.75" customHeight="1">
      <c r="A14" s="176" t="s">
        <v>0</v>
      </c>
      <c r="B14" s="30">
        <f>'E2-FinPerf'!C28</f>
        <v>681028</v>
      </c>
      <c r="C14" s="29">
        <f>'E2-FinPerf'!D28</f>
        <v>383112</v>
      </c>
      <c r="D14" s="29">
        <f>'E2-FinPerf'!E28</f>
        <v>0</v>
      </c>
      <c r="E14" s="29">
        <f>'E2-FinPerf'!F28</f>
        <v>0</v>
      </c>
      <c r="F14" s="29">
        <f>'E2-FinPerf'!G28</f>
        <v>0</v>
      </c>
      <c r="G14" s="29">
        <f>'E2-FinPerf'!H28</f>
        <v>0</v>
      </c>
      <c r="H14" s="29">
        <f t="shared" si="1"/>
        <v>0</v>
      </c>
      <c r="I14" s="29">
        <f t="shared" si="2"/>
        <v>383112</v>
      </c>
      <c r="J14" s="29">
        <f>'E2-FinPerf'!K28</f>
        <v>356000</v>
      </c>
      <c r="K14" s="87">
        <f>'E2-FinPerf'!L28</f>
        <v>395800</v>
      </c>
    </row>
    <row r="15" spans="1:11" ht="12.75" customHeight="1">
      <c r="A15" s="176" t="s">
        <v>40</v>
      </c>
      <c r="B15" s="30">
        <f>'E2-FinPerf'!C29+'E2-FinPerf'!C31</f>
        <v>0</v>
      </c>
      <c r="C15" s="29">
        <f>'E2-FinPerf'!D29+'E2-FinPerf'!D31</f>
        <v>0</v>
      </c>
      <c r="D15" s="29">
        <f>'E2-FinPerf'!E29+'E2-FinPerf'!E31</f>
        <v>0</v>
      </c>
      <c r="E15" s="29">
        <f>'E2-FinPerf'!F29+'E2-FinPerf'!F31</f>
        <v>0</v>
      </c>
      <c r="F15" s="29">
        <f>'E2-FinPerf'!G29+'E2-FinPerf'!G31</f>
        <v>0</v>
      </c>
      <c r="G15" s="29">
        <f>'E2-FinPerf'!H29+'E2-FinPerf'!H31</f>
        <v>0</v>
      </c>
      <c r="H15" s="29">
        <f t="shared" si="1"/>
        <v>0</v>
      </c>
      <c r="I15" s="29">
        <f t="shared" si="2"/>
        <v>0</v>
      </c>
      <c r="J15" s="29">
        <f>'E2-FinPerf'!K29+'E2-FinPerf'!K31</f>
        <v>0</v>
      </c>
      <c r="K15" s="87">
        <f>'E2-FinPerf'!L29+'E2-FinPerf'!L31</f>
        <v>0</v>
      </c>
    </row>
    <row r="16" spans="1:11" ht="12.75" customHeight="1">
      <c r="A16" s="176" t="s">
        <v>17</v>
      </c>
      <c r="B16" s="30">
        <f>'E2-FinPerf'!C32</f>
        <v>0</v>
      </c>
      <c r="C16" s="29">
        <f>'E2-FinPerf'!D32</f>
        <v>0</v>
      </c>
      <c r="D16" s="29">
        <f>'E2-FinPerf'!E32</f>
        <v>0</v>
      </c>
      <c r="E16" s="29">
        <f>'E2-FinPerf'!F32</f>
        <v>0</v>
      </c>
      <c r="F16" s="29">
        <f>'E2-FinPerf'!G32</f>
        <v>0</v>
      </c>
      <c r="G16" s="29">
        <f>'E2-FinPerf'!H32</f>
        <v>0</v>
      </c>
      <c r="H16" s="29">
        <f t="shared" si="1"/>
        <v>0</v>
      </c>
      <c r="I16" s="29">
        <f t="shared" si="2"/>
        <v>0</v>
      </c>
      <c r="J16" s="29">
        <f>'E2-FinPerf'!K32</f>
        <v>0</v>
      </c>
      <c r="K16" s="87">
        <f>'E2-FinPerf'!L32</f>
        <v>0</v>
      </c>
    </row>
    <row r="17" spans="1:11" ht="12.75" customHeight="1">
      <c r="A17" s="176" t="s">
        <v>59</v>
      </c>
      <c r="B17" s="30">
        <f>'E2-FinPerf'!C33+'E2-FinPerf'!C34</f>
        <v>0</v>
      </c>
      <c r="C17" s="29">
        <f>'E2-FinPerf'!D33+'E2-FinPerf'!D34</f>
        <v>0</v>
      </c>
      <c r="D17" s="29">
        <f>'E2-FinPerf'!E33+'E2-FinPerf'!E34</f>
        <v>0</v>
      </c>
      <c r="E17" s="29">
        <f>'E2-FinPerf'!F33+'E2-FinPerf'!F34</f>
        <v>0</v>
      </c>
      <c r="F17" s="29">
        <f>'E2-FinPerf'!G33+'E2-FinPerf'!G34</f>
        <v>0</v>
      </c>
      <c r="G17" s="29">
        <f>'E2-FinPerf'!H33+'E2-FinPerf'!H34</f>
        <v>0</v>
      </c>
      <c r="H17" s="29">
        <f t="shared" si="1"/>
        <v>0</v>
      </c>
      <c r="I17" s="29">
        <f t="shared" si="2"/>
        <v>0</v>
      </c>
      <c r="J17" s="29">
        <f>'E2-FinPerf'!K33+'E2-FinPerf'!K34</f>
        <v>0</v>
      </c>
      <c r="K17" s="87">
        <f>'E2-FinPerf'!L33+'E2-FinPerf'!L34</f>
        <v>0</v>
      </c>
    </row>
    <row r="18" spans="1:11" ht="12.75" customHeight="1">
      <c r="A18" s="373" t="s">
        <v>543</v>
      </c>
      <c r="B18" s="30">
        <f>'E2-FinPerf'!C36</f>
        <v>0</v>
      </c>
      <c r="C18" s="29">
        <f>'E2-FinPerf'!D36</f>
        <v>0</v>
      </c>
      <c r="D18" s="29">
        <f>'E2-FinPerf'!E36</f>
        <v>0</v>
      </c>
      <c r="E18" s="29">
        <f>'E2-FinPerf'!F36</f>
        <v>0</v>
      </c>
      <c r="F18" s="29">
        <f>'E2-FinPerf'!G36</f>
        <v>0</v>
      </c>
      <c r="G18" s="29">
        <f>'E2-FinPerf'!H36</f>
        <v>0</v>
      </c>
      <c r="H18" s="29">
        <f t="shared" si="1"/>
        <v>0</v>
      </c>
      <c r="I18" s="29">
        <f t="shared" si="2"/>
        <v>0</v>
      </c>
      <c r="J18" s="29">
        <f>'E2-FinPerf'!K36</f>
        <v>0</v>
      </c>
      <c r="K18" s="87">
        <f>'E2-FinPerf'!L36</f>
        <v>0</v>
      </c>
    </row>
    <row r="19" spans="1:11" ht="12.75" customHeight="1">
      <c r="A19" s="176" t="s">
        <v>2</v>
      </c>
      <c r="B19" s="30">
        <f>'E2-FinPerf'!C39-SUM('E1-Sum'!B13:B18)</f>
        <v>3194526.33</v>
      </c>
      <c r="C19" s="29">
        <f>'E2-FinPerf'!D39-SUM('E1-Sum'!C13:C18)</f>
        <v>1515373</v>
      </c>
      <c r="D19" s="29">
        <f>'E2-FinPerf'!E39-SUM('E1-Sum'!D13:D18)</f>
        <v>0</v>
      </c>
      <c r="E19" s="29">
        <f>'E2-FinPerf'!F39-SUM('E1-Sum'!E13:E18)</f>
        <v>0</v>
      </c>
      <c r="F19" s="29">
        <f>'E2-FinPerf'!G39-SUM('E1-Sum'!F13:F18)</f>
        <v>0</v>
      </c>
      <c r="G19" s="29">
        <f>'E2-FinPerf'!H39-SUM('E1-Sum'!G13:G18)</f>
        <v>0</v>
      </c>
      <c r="H19" s="29">
        <f t="shared" si="1"/>
        <v>0</v>
      </c>
      <c r="I19" s="29">
        <f t="shared" si="2"/>
        <v>1515373</v>
      </c>
      <c r="J19" s="29">
        <f>'E2-FinPerf'!K39-SUM('E1-Sum'!J13:J18)</f>
        <v>2261820.67</v>
      </c>
      <c r="K19" s="87">
        <f>'E2-FinPerf'!L39-SUM('E1-Sum'!K13:K18)</f>
        <v>2421202.5370000005</v>
      </c>
    </row>
    <row r="20" spans="1:11" ht="12.75" customHeight="1">
      <c r="A20" s="273" t="s">
        <v>50</v>
      </c>
      <c r="B20" s="49">
        <f t="shared" ref="B20:K20" si="3">SUM(B13:B19)</f>
        <v>7329370.8200000003</v>
      </c>
      <c r="C20" s="49">
        <f t="shared" si="3"/>
        <v>5500000</v>
      </c>
      <c r="D20" s="49">
        <f t="shared" si="3"/>
        <v>0</v>
      </c>
      <c r="E20" s="49">
        <f t="shared" si="3"/>
        <v>0</v>
      </c>
      <c r="F20" s="49">
        <f t="shared" si="3"/>
        <v>0</v>
      </c>
      <c r="G20" s="49">
        <f t="shared" si="3"/>
        <v>0</v>
      </c>
      <c r="H20" s="49">
        <f t="shared" si="3"/>
        <v>0</v>
      </c>
      <c r="I20" s="49">
        <f t="shared" si="3"/>
        <v>5500000</v>
      </c>
      <c r="J20" s="49">
        <f t="shared" si="3"/>
        <v>6499996.6699999999</v>
      </c>
      <c r="K20" s="88">
        <f t="shared" si="3"/>
        <v>7000059.5370000005</v>
      </c>
    </row>
    <row r="21" spans="1:11" ht="12.75" customHeight="1">
      <c r="A21" s="177" t="s">
        <v>51</v>
      </c>
      <c r="B21" s="33">
        <f t="shared" ref="B21:K21" si="4">B12-B20</f>
        <v>-1829370.8200000003</v>
      </c>
      <c r="C21" s="33">
        <f t="shared" si="4"/>
        <v>0</v>
      </c>
      <c r="D21" s="33">
        <f t="shared" si="4"/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 t="shared" si="4"/>
        <v>0</v>
      </c>
      <c r="J21" s="33">
        <f t="shared" si="4"/>
        <v>3.3300000000745058</v>
      </c>
      <c r="K21" s="106">
        <f t="shared" si="4"/>
        <v>-59.537000000476837</v>
      </c>
    </row>
    <row r="22" spans="1:11" ht="12.75" customHeight="1">
      <c r="A22" s="266" t="s">
        <v>425</v>
      </c>
      <c r="B22" s="33">
        <f>'E2-FinPerf'!C41</f>
        <v>0</v>
      </c>
      <c r="C22" s="33">
        <f>'E2-FinPerf'!D41</f>
        <v>0</v>
      </c>
      <c r="D22" s="33">
        <f>'E2-FinPerf'!E41</f>
        <v>0</v>
      </c>
      <c r="E22" s="33">
        <f>'E2-FinPerf'!F41</f>
        <v>0</v>
      </c>
      <c r="F22" s="33">
        <f>'E2-FinPerf'!G41</f>
        <v>0</v>
      </c>
      <c r="G22" s="33">
        <f>'E2-FinPerf'!H41</f>
        <v>0</v>
      </c>
      <c r="H22" s="33">
        <f>H13-H21</f>
        <v>0</v>
      </c>
      <c r="I22" s="29">
        <f>IF(C22=0,B22+H22,C22+H22)</f>
        <v>0</v>
      </c>
      <c r="J22" s="33">
        <f>'E2-FinPerf'!K41</f>
        <v>0</v>
      </c>
      <c r="K22" s="106">
        <f>'E2-FinPerf'!L41</f>
        <v>0</v>
      </c>
    </row>
    <row r="23" spans="1:11" ht="12.75" customHeight="1">
      <c r="A23" s="266" t="s">
        <v>544</v>
      </c>
      <c r="B23" s="33">
        <f>'E2-FinPerf'!C42+'E2-FinPerf'!C43</f>
        <v>0</v>
      </c>
      <c r="C23" s="33">
        <f>'E2-FinPerf'!D42+'E2-FinPerf'!D43</f>
        <v>0</v>
      </c>
      <c r="D23" s="33">
        <f>'E2-FinPerf'!E42+'E2-FinPerf'!E43</f>
        <v>0</v>
      </c>
      <c r="E23" s="33">
        <f>'E2-FinPerf'!F42+'E2-FinPerf'!F43</f>
        <v>0</v>
      </c>
      <c r="F23" s="33">
        <f>'E2-FinPerf'!G42+'E2-FinPerf'!G43</f>
        <v>0</v>
      </c>
      <c r="G23" s="33">
        <f>'E2-FinPerf'!H42+'E2-FinPerf'!H43</f>
        <v>0</v>
      </c>
      <c r="H23" s="33">
        <f>H14-H22</f>
        <v>0</v>
      </c>
      <c r="I23" s="29">
        <f>IF(C23=0,B23+H23,C23+H23)</f>
        <v>0</v>
      </c>
      <c r="J23" s="33">
        <f>'E2-FinPerf'!K42+'E2-FinPerf'!K43</f>
        <v>0</v>
      </c>
      <c r="K23" s="106">
        <f>'E2-FinPerf'!L42+'E2-FinPerf'!L43</f>
        <v>0</v>
      </c>
    </row>
    <row r="24" spans="1:11" ht="24.75" customHeight="1">
      <c r="A24" s="267" t="s">
        <v>545</v>
      </c>
      <c r="B24" s="270">
        <f t="shared" ref="B24:G24" si="5">B21+SUM(B22:B23)</f>
        <v>-1829370.8200000003</v>
      </c>
      <c r="C24" s="271">
        <f t="shared" si="5"/>
        <v>0</v>
      </c>
      <c r="D24" s="271">
        <f t="shared" si="5"/>
        <v>0</v>
      </c>
      <c r="E24" s="271">
        <f t="shared" si="5"/>
        <v>0</v>
      </c>
      <c r="F24" s="271">
        <f t="shared" si="5"/>
        <v>0</v>
      </c>
      <c r="G24" s="271">
        <f t="shared" si="5"/>
        <v>0</v>
      </c>
      <c r="H24" s="271">
        <f>H21+SUM(H22:H23)</f>
        <v>0</v>
      </c>
      <c r="I24" s="271">
        <f>I21+SUM(I22:I23)</f>
        <v>0</v>
      </c>
      <c r="J24" s="271">
        <f>J21+SUM(J22:J23)</f>
        <v>3.3300000000745058</v>
      </c>
      <c r="K24" s="272">
        <f>K21+SUM(K22:K23)</f>
        <v>-59.537000000476837</v>
      </c>
    </row>
    <row r="25" spans="1:11" ht="12.75" customHeight="1">
      <c r="A25" s="268" t="s">
        <v>30</v>
      </c>
      <c r="B25" s="33">
        <f>'E2-FinPerf'!C45</f>
        <v>0</v>
      </c>
      <c r="C25" s="33">
        <f>'E2-FinPerf'!D45</f>
        <v>0</v>
      </c>
      <c r="D25" s="33">
        <f>'E2-FinPerf'!E45</f>
        <v>0</v>
      </c>
      <c r="E25" s="33">
        <f>'E2-FinPerf'!F45</f>
        <v>0</v>
      </c>
      <c r="F25" s="33">
        <f>'E2-FinPerf'!G45</f>
        <v>0</v>
      </c>
      <c r="G25" s="33">
        <f>'E2-FinPerf'!H45</f>
        <v>0</v>
      </c>
      <c r="H25" s="33">
        <f>H16-H24</f>
        <v>0</v>
      </c>
      <c r="I25" s="29">
        <f>IF(C25=0,B25+H25,C25+H25)</f>
        <v>0</v>
      </c>
      <c r="J25" s="33">
        <f>'E2-FinPerf'!K45</f>
        <v>0</v>
      </c>
      <c r="K25" s="106">
        <f>'E2-FinPerf'!L45</f>
        <v>0</v>
      </c>
    </row>
    <row r="26" spans="1:11" ht="12.75" customHeight="1">
      <c r="A26" s="269" t="s">
        <v>369</v>
      </c>
      <c r="B26" s="31">
        <f t="shared" ref="B26:G26" si="6">B24-B25</f>
        <v>-1829370.8200000003</v>
      </c>
      <c r="C26" s="31">
        <f t="shared" si="6"/>
        <v>0</v>
      </c>
      <c r="D26" s="31">
        <f t="shared" si="6"/>
        <v>0</v>
      </c>
      <c r="E26" s="31">
        <f t="shared" si="6"/>
        <v>0</v>
      </c>
      <c r="F26" s="31">
        <f t="shared" si="6"/>
        <v>0</v>
      </c>
      <c r="G26" s="31">
        <f t="shared" si="6"/>
        <v>0</v>
      </c>
      <c r="H26" s="31">
        <f>H17-H25</f>
        <v>0</v>
      </c>
      <c r="I26" s="31">
        <f>I17-I25</f>
        <v>0</v>
      </c>
      <c r="J26" s="31">
        <f>J24-J25</f>
        <v>3.3300000000745058</v>
      </c>
      <c r="K26" s="89">
        <f>K24-K25</f>
        <v>-59.537000000476837</v>
      </c>
    </row>
    <row r="27" spans="1:11" ht="5.0999999999999996" customHeight="1">
      <c r="A27" s="178"/>
      <c r="B27" s="69"/>
      <c r="C27" s="69"/>
      <c r="D27" s="69"/>
      <c r="E27" s="69"/>
      <c r="F27" s="69"/>
      <c r="G27" s="69"/>
      <c r="H27" s="69"/>
      <c r="I27" s="69"/>
      <c r="J27" s="69"/>
      <c r="K27" s="105"/>
    </row>
    <row r="28" spans="1:11" ht="12.75" customHeight="1">
      <c r="A28" s="179" t="s">
        <v>397</v>
      </c>
      <c r="B28" s="67"/>
      <c r="C28" s="67"/>
      <c r="D28" s="67"/>
      <c r="E28" s="67"/>
      <c r="F28" s="67"/>
      <c r="G28" s="67"/>
      <c r="H28" s="67"/>
      <c r="I28" s="67"/>
      <c r="J28" s="67"/>
      <c r="K28" s="86"/>
    </row>
    <row r="29" spans="1:11" ht="12.75" customHeight="1">
      <c r="A29" s="336" t="s">
        <v>121</v>
      </c>
      <c r="B29" s="29">
        <f>'E3-Capex'!C32</f>
        <v>0</v>
      </c>
      <c r="C29" s="29">
        <f>'E3-Capex'!D32</f>
        <v>25000</v>
      </c>
      <c r="D29" s="29">
        <f>'E3-Capex'!E32</f>
        <v>0</v>
      </c>
      <c r="E29" s="29">
        <f>'E3-Capex'!F32</f>
        <v>0</v>
      </c>
      <c r="F29" s="29">
        <f>'E3-Capex'!G32</f>
        <v>0</v>
      </c>
      <c r="G29" s="29">
        <f>'E3-Capex'!H32</f>
        <v>0</v>
      </c>
      <c r="H29" s="29">
        <f>SUM(D29:G29)</f>
        <v>0</v>
      </c>
      <c r="I29" s="29">
        <f>IF(C29=0,B29+H29,C29+H29)</f>
        <v>25000</v>
      </c>
      <c r="J29" s="29">
        <f>'E3-Capex'!K32</f>
        <v>28000</v>
      </c>
      <c r="K29" s="87">
        <f>'E3-Capex'!L32</f>
        <v>25000</v>
      </c>
    </row>
    <row r="30" spans="1:11" ht="12.75" customHeight="1">
      <c r="A30" s="374" t="s">
        <v>425</v>
      </c>
      <c r="B30" s="29">
        <f>'E3-Capex'!C39</f>
        <v>0</v>
      </c>
      <c r="C30" s="29">
        <f>'E3-Capex'!D39</f>
        <v>0</v>
      </c>
      <c r="D30" s="29">
        <f>'E3-Capex'!E39</f>
        <v>0</v>
      </c>
      <c r="E30" s="29">
        <f>'E3-Capex'!F39</f>
        <v>0</v>
      </c>
      <c r="F30" s="29">
        <f>'E3-Capex'!G39</f>
        <v>0</v>
      </c>
      <c r="G30" s="29">
        <f>'E3-Capex'!H39</f>
        <v>0</v>
      </c>
      <c r="H30" s="29">
        <f>SUM(D30:G30)</f>
        <v>0</v>
      </c>
      <c r="I30" s="29">
        <f>IF(C30=0,B30+H30,C30+H30)</f>
        <v>0</v>
      </c>
      <c r="J30" s="29">
        <f>'E3-Capex'!K39</f>
        <v>0</v>
      </c>
      <c r="K30" s="87">
        <f>'E3-Capex'!L39</f>
        <v>0</v>
      </c>
    </row>
    <row r="31" spans="1:11" ht="12.75" customHeight="1">
      <c r="A31" s="176" t="s">
        <v>38</v>
      </c>
      <c r="B31" s="29">
        <f>'E3-Capex'!C40</f>
        <v>0</v>
      </c>
      <c r="C31" s="29">
        <f>'E3-Capex'!D40</f>
        <v>0</v>
      </c>
      <c r="D31" s="29">
        <f>'E3-Capex'!E40</f>
        <v>0</v>
      </c>
      <c r="E31" s="29">
        <f>'E3-Capex'!F40</f>
        <v>0</v>
      </c>
      <c r="F31" s="29">
        <f>'E3-Capex'!G40</f>
        <v>0</v>
      </c>
      <c r="G31" s="29">
        <f>'E3-Capex'!H40</f>
        <v>0</v>
      </c>
      <c r="H31" s="29">
        <f>SUM(D31:G31)</f>
        <v>0</v>
      </c>
      <c r="I31" s="29">
        <f>IF(C31=0,B31+H31,C31+H31)</f>
        <v>0</v>
      </c>
      <c r="J31" s="29">
        <f>'E3-Capex'!K40</f>
        <v>0</v>
      </c>
      <c r="K31" s="87">
        <f>'E3-Capex'!L40</f>
        <v>0</v>
      </c>
    </row>
    <row r="32" spans="1:11" ht="12.75" customHeight="1">
      <c r="A32" s="176" t="s">
        <v>280</v>
      </c>
      <c r="B32" s="29">
        <f>'E3-Capex'!C41</f>
        <v>0</v>
      </c>
      <c r="C32" s="29">
        <f>'E3-Capex'!D41</f>
        <v>0</v>
      </c>
      <c r="D32" s="29">
        <f>'E3-Capex'!E41</f>
        <v>0</v>
      </c>
      <c r="E32" s="29">
        <f>'E3-Capex'!F41</f>
        <v>0</v>
      </c>
      <c r="F32" s="29">
        <f>'E3-Capex'!G41</f>
        <v>0</v>
      </c>
      <c r="G32" s="29">
        <f>'E3-Capex'!H41</f>
        <v>0</v>
      </c>
      <c r="H32" s="29">
        <f>SUM(D32:G32)</f>
        <v>0</v>
      </c>
      <c r="I32" s="29">
        <f>IF(C32=0,B32+H32,C32+H32)</f>
        <v>0</v>
      </c>
      <c r="J32" s="29">
        <f>'E3-Capex'!K41</f>
        <v>0</v>
      </c>
      <c r="K32" s="87">
        <f>'E3-Capex'!L41</f>
        <v>0</v>
      </c>
    </row>
    <row r="33" spans="1:11" ht="12.75" customHeight="1">
      <c r="A33" s="176" t="s">
        <v>35</v>
      </c>
      <c r="B33" s="29">
        <f>'E3-Capex'!C42</f>
        <v>0</v>
      </c>
      <c r="C33" s="29">
        <f>'E3-Capex'!D42</f>
        <v>0</v>
      </c>
      <c r="D33" s="29">
        <f>'E3-Capex'!E42</f>
        <v>0</v>
      </c>
      <c r="E33" s="29">
        <f>'E3-Capex'!F42</f>
        <v>0</v>
      </c>
      <c r="F33" s="29">
        <f>'E3-Capex'!G42</f>
        <v>0</v>
      </c>
      <c r="G33" s="29">
        <f>'E3-Capex'!H42</f>
        <v>0</v>
      </c>
      <c r="H33" s="29">
        <f>SUM(D33:G33)</f>
        <v>0</v>
      </c>
      <c r="I33" s="29">
        <f>IF(C33=0,B33+H33,C33+H33)</f>
        <v>0</v>
      </c>
      <c r="J33" s="29">
        <f>'E3-Capex'!K42</f>
        <v>0</v>
      </c>
      <c r="K33" s="87">
        <f>'E3-Capex'!L42</f>
        <v>0</v>
      </c>
    </row>
    <row r="34" spans="1:11" ht="12.75" customHeight="1">
      <c r="A34" s="273" t="s">
        <v>107</v>
      </c>
      <c r="B34" s="33">
        <f t="shared" ref="B34:K34" si="7">SUM(B30:B33)</f>
        <v>0</v>
      </c>
      <c r="C34" s="33">
        <f t="shared" si="7"/>
        <v>0</v>
      </c>
      <c r="D34" s="33">
        <f t="shared" si="7"/>
        <v>0</v>
      </c>
      <c r="E34" s="33">
        <f t="shared" si="7"/>
        <v>0</v>
      </c>
      <c r="F34" s="33">
        <f t="shared" si="7"/>
        <v>0</v>
      </c>
      <c r="G34" s="33">
        <f t="shared" si="7"/>
        <v>0</v>
      </c>
      <c r="H34" s="33">
        <f t="shared" si="7"/>
        <v>0</v>
      </c>
      <c r="I34" s="33">
        <f t="shared" si="7"/>
        <v>0</v>
      </c>
      <c r="J34" s="33">
        <f t="shared" si="7"/>
        <v>0</v>
      </c>
      <c r="K34" s="106">
        <f t="shared" si="7"/>
        <v>0</v>
      </c>
    </row>
    <row r="35" spans="1:11" ht="5.0999999999999996" customHeight="1">
      <c r="A35" s="180"/>
      <c r="B35" s="69"/>
      <c r="C35" s="69"/>
      <c r="D35" s="69"/>
      <c r="E35" s="69"/>
      <c r="F35" s="69"/>
      <c r="G35" s="69"/>
      <c r="H35" s="69"/>
      <c r="I35" s="69"/>
      <c r="J35" s="69"/>
      <c r="K35" s="105"/>
    </row>
    <row r="36" spans="1:11" ht="12.75" customHeight="1">
      <c r="A36" s="179" t="s">
        <v>56</v>
      </c>
      <c r="B36" s="67"/>
      <c r="C36" s="67"/>
      <c r="D36" s="67"/>
      <c r="E36" s="67"/>
      <c r="F36" s="67"/>
      <c r="G36" s="67"/>
      <c r="H36" s="67"/>
      <c r="I36" s="67"/>
      <c r="J36" s="67"/>
      <c r="K36" s="86"/>
    </row>
    <row r="37" spans="1:11" ht="12.75" customHeight="1">
      <c r="A37" s="176" t="s">
        <v>159</v>
      </c>
      <c r="B37" s="30">
        <f>'E4-FinPos'!C14</f>
        <v>0</v>
      </c>
      <c r="C37" s="29">
        <f>'E4-FinPos'!D14</f>
        <v>0</v>
      </c>
      <c r="D37" s="29">
        <f>'E4-FinPos'!E14</f>
        <v>0</v>
      </c>
      <c r="E37" s="29">
        <f>'E4-FinPos'!F14</f>
        <v>0</v>
      </c>
      <c r="F37" s="29">
        <f>'E4-FinPos'!G14</f>
        <v>0</v>
      </c>
      <c r="G37" s="29">
        <f>'E4-FinPos'!H14</f>
        <v>0</v>
      </c>
      <c r="H37" s="29">
        <f>SUM(D37:G37)</f>
        <v>0</v>
      </c>
      <c r="I37" s="29">
        <f>IF(C37=0,B37+H37,C37+H37)</f>
        <v>0</v>
      </c>
      <c r="J37" s="29">
        <f>'E4-FinPos'!K14</f>
        <v>0</v>
      </c>
      <c r="K37" s="87">
        <f>'E4-FinPos'!L14</f>
        <v>0</v>
      </c>
    </row>
    <row r="38" spans="1:11" ht="12.75" customHeight="1">
      <c r="A38" s="176" t="s">
        <v>158</v>
      </c>
      <c r="B38" s="30">
        <f>'E4-FinPos'!C24</f>
        <v>0</v>
      </c>
      <c r="C38" s="29">
        <f>'E4-FinPos'!D24</f>
        <v>0</v>
      </c>
      <c r="D38" s="29">
        <f>'E4-FinPos'!E24</f>
        <v>0</v>
      </c>
      <c r="E38" s="29">
        <f>'E4-FinPos'!F24</f>
        <v>0</v>
      </c>
      <c r="F38" s="29">
        <f>'E4-FinPos'!G24</f>
        <v>0</v>
      </c>
      <c r="G38" s="29">
        <f>'E4-FinPos'!H24</f>
        <v>0</v>
      </c>
      <c r="H38" s="29">
        <f>SUM(D38:G38)</f>
        <v>0</v>
      </c>
      <c r="I38" s="29">
        <f>IF(C38=0,B38+H38,C38+H38)</f>
        <v>0</v>
      </c>
      <c r="J38" s="29">
        <f>'E4-FinPos'!K24</f>
        <v>0</v>
      </c>
      <c r="K38" s="87">
        <f>'E4-FinPos'!L24</f>
        <v>0</v>
      </c>
    </row>
    <row r="39" spans="1:11" ht="12.75" customHeight="1">
      <c r="A39" s="176" t="s">
        <v>23</v>
      </c>
      <c r="B39" s="30">
        <f>'E4-FinPos'!C34</f>
        <v>0</v>
      </c>
      <c r="C39" s="29">
        <f>'E4-FinPos'!D34</f>
        <v>0</v>
      </c>
      <c r="D39" s="29">
        <f>'E4-FinPos'!E34</f>
        <v>0</v>
      </c>
      <c r="E39" s="29">
        <f>'E4-FinPos'!F34</f>
        <v>0</v>
      </c>
      <c r="F39" s="29">
        <f>'E4-FinPos'!G34</f>
        <v>0</v>
      </c>
      <c r="G39" s="29">
        <f>'E4-FinPos'!H34</f>
        <v>0</v>
      </c>
      <c r="H39" s="29">
        <f>SUM(D39:G39)</f>
        <v>0</v>
      </c>
      <c r="I39" s="29">
        <f>IF(C39=0,B39+H39,C39+H39)</f>
        <v>0</v>
      </c>
      <c r="J39" s="29">
        <f>'E4-FinPos'!K34</f>
        <v>0</v>
      </c>
      <c r="K39" s="87">
        <f>'E4-FinPos'!L34</f>
        <v>0</v>
      </c>
    </row>
    <row r="40" spans="1:11" ht="12.75" customHeight="1">
      <c r="A40" s="176" t="s">
        <v>22</v>
      </c>
      <c r="B40" s="30">
        <f>'E4-FinPos'!C39</f>
        <v>0</v>
      </c>
      <c r="C40" s="29">
        <f>'E4-FinPos'!D39</f>
        <v>0</v>
      </c>
      <c r="D40" s="29">
        <f>'E4-FinPos'!E39</f>
        <v>0</v>
      </c>
      <c r="E40" s="29">
        <f>'E4-FinPos'!F39</f>
        <v>0</v>
      </c>
      <c r="F40" s="29">
        <f>'E4-FinPos'!G39</f>
        <v>0</v>
      </c>
      <c r="G40" s="29">
        <f>'E4-FinPos'!H39</f>
        <v>0</v>
      </c>
      <c r="H40" s="29">
        <f>SUM(D40:G40)</f>
        <v>0</v>
      </c>
      <c r="I40" s="29">
        <f>IF(C40=0,B40+H40,C40+H40)</f>
        <v>0</v>
      </c>
      <c r="J40" s="29">
        <f>'E4-FinPos'!K39</f>
        <v>0</v>
      </c>
      <c r="K40" s="87">
        <f>'E4-FinPos'!L39</f>
        <v>0</v>
      </c>
    </row>
    <row r="41" spans="1:11" ht="12.75" customHeight="1">
      <c r="A41" s="176" t="s">
        <v>62</v>
      </c>
      <c r="B41" s="30">
        <f>'E4-FinPos'!C48</f>
        <v>0</v>
      </c>
      <c r="C41" s="29">
        <f>'E4-FinPos'!D48</f>
        <v>0</v>
      </c>
      <c r="D41" s="29">
        <f>'E4-FinPos'!E48</f>
        <v>0</v>
      </c>
      <c r="E41" s="29">
        <f>'E4-FinPos'!F48</f>
        <v>0</v>
      </c>
      <c r="F41" s="29">
        <f>'E4-FinPos'!G48</f>
        <v>0</v>
      </c>
      <c r="G41" s="29">
        <f>'E4-FinPos'!H48</f>
        <v>0</v>
      </c>
      <c r="H41" s="29">
        <f>SUM(D41:G41)</f>
        <v>0</v>
      </c>
      <c r="I41" s="29">
        <f>IF(C41=0,B41+H41,C41+H41)</f>
        <v>0</v>
      </c>
      <c r="J41" s="29">
        <f>'E4-FinPos'!K48</f>
        <v>0</v>
      </c>
      <c r="K41" s="87">
        <f>'E4-FinPos'!L48</f>
        <v>0</v>
      </c>
    </row>
    <row r="42" spans="1:11" ht="5.0999999999999996" customHeight="1">
      <c r="A42" s="178"/>
      <c r="B42" s="69"/>
      <c r="C42" s="69"/>
      <c r="D42" s="69"/>
      <c r="E42" s="69"/>
      <c r="F42" s="69"/>
      <c r="G42" s="69"/>
      <c r="H42" s="69"/>
      <c r="I42" s="69"/>
      <c r="J42" s="69"/>
      <c r="K42" s="105"/>
    </row>
    <row r="43" spans="1:11" ht="12.75" customHeight="1">
      <c r="A43" s="181" t="s">
        <v>57</v>
      </c>
      <c r="B43" s="29"/>
      <c r="C43" s="29"/>
      <c r="D43" s="29"/>
      <c r="E43" s="29"/>
      <c r="F43" s="29"/>
      <c r="G43" s="29"/>
      <c r="H43" s="29"/>
      <c r="I43" s="29"/>
      <c r="J43" s="29"/>
      <c r="K43" s="87"/>
    </row>
    <row r="44" spans="1:11" ht="12.75" customHeight="1">
      <c r="A44" s="176" t="s">
        <v>178</v>
      </c>
      <c r="B44" s="30">
        <f>'E5-CFlow'!C18</f>
        <v>0</v>
      </c>
      <c r="C44" s="29">
        <f>'E5-CFlow'!D18</f>
        <v>0</v>
      </c>
      <c r="D44" s="29">
        <f>'E5-CFlow'!E18</f>
        <v>0</v>
      </c>
      <c r="E44" s="29">
        <f>'E5-CFlow'!F18</f>
        <v>0</v>
      </c>
      <c r="F44" s="29">
        <f>'E5-CFlow'!G18</f>
        <v>0</v>
      </c>
      <c r="G44" s="29">
        <f>'E5-CFlow'!H18</f>
        <v>0</v>
      </c>
      <c r="H44" s="29">
        <f>SUM(D44:G44)</f>
        <v>0</v>
      </c>
      <c r="I44" s="29">
        <f>IF(C44=0,B44+H44,C44+H44)</f>
        <v>0</v>
      </c>
      <c r="J44" s="29">
        <f>'E5-CFlow'!K18</f>
        <v>0</v>
      </c>
      <c r="K44" s="87">
        <f>'E5-CFlow'!L18</f>
        <v>0</v>
      </c>
    </row>
    <row r="45" spans="1:11" ht="12.75" customHeight="1">
      <c r="A45" s="176" t="s">
        <v>179</v>
      </c>
      <c r="B45" s="30">
        <f>'E5-CFlow'!C28</f>
        <v>0</v>
      </c>
      <c r="C45" s="29">
        <f>'E5-CFlow'!D28</f>
        <v>0</v>
      </c>
      <c r="D45" s="29">
        <f>'E5-CFlow'!E28</f>
        <v>0</v>
      </c>
      <c r="E45" s="29">
        <f>'E5-CFlow'!F28</f>
        <v>0</v>
      </c>
      <c r="F45" s="29">
        <f>'E5-CFlow'!G28</f>
        <v>0</v>
      </c>
      <c r="G45" s="29">
        <f>'E5-CFlow'!H28</f>
        <v>0</v>
      </c>
      <c r="H45" s="29">
        <f>SUM(D45:G45)</f>
        <v>0</v>
      </c>
      <c r="I45" s="29">
        <f>IF(C45=0,B45+H45,C45+H45)</f>
        <v>0</v>
      </c>
      <c r="J45" s="29">
        <f>'E5-CFlow'!K28</f>
        <v>0</v>
      </c>
      <c r="K45" s="87">
        <f>'E5-CFlow'!L28</f>
        <v>0</v>
      </c>
    </row>
    <row r="46" spans="1:11" ht="12.75" customHeight="1">
      <c r="A46" s="176" t="s">
        <v>177</v>
      </c>
      <c r="B46" s="30">
        <f>'E5-CFlow'!C37</f>
        <v>0</v>
      </c>
      <c r="C46" s="29">
        <f>'E5-CFlow'!D37</f>
        <v>0</v>
      </c>
      <c r="D46" s="29">
        <f>'E5-CFlow'!E37</f>
        <v>0</v>
      </c>
      <c r="E46" s="29">
        <f>'E5-CFlow'!F37</f>
        <v>0</v>
      </c>
      <c r="F46" s="29">
        <f>'E5-CFlow'!G37</f>
        <v>0</v>
      </c>
      <c r="G46" s="29">
        <f>'E5-CFlow'!H37</f>
        <v>0</v>
      </c>
      <c r="H46" s="29">
        <f>SUM(D46:G46)</f>
        <v>0</v>
      </c>
      <c r="I46" s="29">
        <f>IF(C46=0,B46+H46,C46+H46)</f>
        <v>0</v>
      </c>
      <c r="J46" s="29">
        <f>'E5-CFlow'!K37</f>
        <v>0</v>
      </c>
      <c r="K46" s="87">
        <f>'E5-CFlow'!L37</f>
        <v>0</v>
      </c>
    </row>
    <row r="47" spans="1:11" ht="12.75" customHeight="1">
      <c r="A47" s="313" t="s">
        <v>26</v>
      </c>
      <c r="B47" s="52">
        <f>'E5-CFlow'!C41</f>
        <v>0</v>
      </c>
      <c r="C47" s="51">
        <f>'E5-CFlow'!D41</f>
        <v>0</v>
      </c>
      <c r="D47" s="51">
        <f>'E5-CFlow'!E41</f>
        <v>0</v>
      </c>
      <c r="E47" s="51">
        <f>'E5-CFlow'!F41</f>
        <v>0</v>
      </c>
      <c r="F47" s="51">
        <f>'E5-CFlow'!G41</f>
        <v>0</v>
      </c>
      <c r="G47" s="51">
        <f>'E5-CFlow'!H41</f>
        <v>0</v>
      </c>
      <c r="H47" s="51">
        <f>SUM(D47:G47)</f>
        <v>0</v>
      </c>
      <c r="I47" s="51">
        <f>IF(C47=0,B47+H47,C47+H47)</f>
        <v>0</v>
      </c>
      <c r="J47" s="51">
        <f>'E5-CFlow'!K41</f>
        <v>0</v>
      </c>
      <c r="K47" s="114">
        <f>'E5-CFlow'!L41</f>
        <v>0</v>
      </c>
    </row>
    <row r="48" spans="1:11" ht="12.75" customHeight="1">
      <c r="A48" s="162" t="s">
        <v>176</v>
      </c>
      <c r="B48" s="62"/>
      <c r="C48" s="62"/>
      <c r="D48" s="62"/>
      <c r="E48" s="62"/>
      <c r="F48" s="62"/>
      <c r="G48" s="62"/>
      <c r="H48" s="62"/>
      <c r="I48" s="62"/>
    </row>
    <row r="49" spans="1:9" ht="12.75" customHeight="1">
      <c r="A49" s="40" t="s">
        <v>436</v>
      </c>
      <c r="B49" s="62"/>
      <c r="C49" s="62"/>
      <c r="D49" s="62"/>
      <c r="E49" s="62"/>
      <c r="F49" s="62"/>
      <c r="G49" s="62"/>
      <c r="H49" s="62"/>
      <c r="I49" s="62"/>
    </row>
    <row r="50" spans="1:9" ht="12.75" customHeight="1">
      <c r="A50" s="159" t="s">
        <v>112</v>
      </c>
      <c r="B50" s="62"/>
      <c r="C50" s="62"/>
      <c r="D50" s="62"/>
      <c r="E50" s="62"/>
      <c r="F50" s="62"/>
      <c r="G50" s="62"/>
      <c r="H50" s="62"/>
      <c r="I50" s="62"/>
    </row>
    <row r="51" spans="1:9">
      <c r="A51" s="76" t="s">
        <v>438</v>
      </c>
    </row>
    <row r="52" spans="1:9">
      <c r="A52" s="76" t="s">
        <v>439</v>
      </c>
    </row>
    <row r="53" spans="1:9">
      <c r="A53" s="76" t="s">
        <v>232</v>
      </c>
    </row>
    <row r="54" spans="1:9">
      <c r="A54" s="159" t="s">
        <v>233</v>
      </c>
    </row>
    <row r="55" spans="1:9">
      <c r="A55" s="159" t="s">
        <v>234</v>
      </c>
    </row>
  </sheetData>
  <mergeCells count="2">
    <mergeCell ref="B2:I2"/>
    <mergeCell ref="A1:K1"/>
  </mergeCells>
  <phoneticPr fontId="2" type="noConversion"/>
  <pageMargins left="0.75" right="0.75" top="1" bottom="1" header="0.5" footer="0.5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46" enableFormatConditionsCalculation="0">
    <tabColor indexed="44"/>
  </sheetPr>
  <dimension ref="A1:L85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35.7109375" style="20" customWidth="1"/>
    <col min="2" max="2" width="3.140625" style="48" customWidth="1"/>
    <col min="3" max="12" width="8.7109375" style="20" customWidth="1"/>
    <col min="13" max="13" width="9.5703125" style="20" customWidth="1"/>
    <col min="14" max="14" width="9.85546875" style="20" customWidth="1"/>
    <col min="15" max="17" width="9.5703125" style="20" customWidth="1"/>
    <col min="18" max="18" width="9.85546875" style="20" customWidth="1"/>
    <col min="19" max="21" width="9.5703125" style="20" customWidth="1"/>
    <col min="22" max="23" width="9.85546875" style="20" customWidth="1"/>
    <col min="24" max="16384" width="9.140625" style="20"/>
  </cols>
  <sheetData>
    <row r="1" spans="1:12" ht="13.5">
      <c r="A1" s="19" t="str">
        <f>MEAB1&amp;"  - "&amp;Date</f>
        <v xml:space="preserve"> - Table E2 Adjustments Budget - Financial Performance (revenue and expenditure)  - </v>
      </c>
    </row>
    <row r="2" spans="1:12" ht="38.25">
      <c r="A2" s="426" t="str">
        <f>desc</f>
        <v>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2" ht="25.5">
      <c r="A3" s="427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2">
      <c r="A4" s="427"/>
      <c r="B4" s="427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2">
      <c r="A5" s="127" t="s">
        <v>199</v>
      </c>
      <c r="B5" s="128"/>
      <c r="C5" s="201" t="s">
        <v>111</v>
      </c>
      <c r="D5" s="202" t="s">
        <v>325</v>
      </c>
      <c r="E5" s="203" t="s">
        <v>81</v>
      </c>
      <c r="F5" s="203" t="s">
        <v>37</v>
      </c>
      <c r="G5" s="204" t="s">
        <v>139</v>
      </c>
      <c r="H5" s="204" t="s">
        <v>12</v>
      </c>
      <c r="I5" s="204" t="s">
        <v>13</v>
      </c>
      <c r="J5" s="204" t="s">
        <v>14</v>
      </c>
      <c r="K5" s="133"/>
      <c r="L5" s="172"/>
    </row>
    <row r="6" spans="1:12" ht="12.75" customHeight="1">
      <c r="A6" s="23" t="s">
        <v>47</v>
      </c>
      <c r="B6" s="307"/>
      <c r="C6" s="412"/>
      <c r="D6" s="65"/>
      <c r="E6" s="65"/>
      <c r="F6" s="65"/>
      <c r="G6" s="65"/>
      <c r="H6" s="65"/>
      <c r="I6" s="29"/>
      <c r="J6" s="29"/>
      <c r="K6" s="29"/>
      <c r="L6" s="87"/>
    </row>
    <row r="7" spans="1:12" ht="12.75" customHeight="1">
      <c r="A7" s="26" t="s">
        <v>398</v>
      </c>
      <c r="B7" s="307"/>
      <c r="C7" s="241"/>
      <c r="D7" s="215"/>
      <c r="E7" s="215"/>
      <c r="F7" s="215"/>
      <c r="G7" s="215"/>
      <c r="H7" s="215"/>
      <c r="I7" s="29">
        <f>SUM(E7:H7)</f>
        <v>0</v>
      </c>
      <c r="J7" s="66">
        <f t="shared" ref="J7:J23" si="0">IF(D7=0,C7+I7,D7+I7)</f>
        <v>0</v>
      </c>
      <c r="K7" s="215"/>
      <c r="L7" s="216"/>
    </row>
    <row r="8" spans="1:12" ht="12.75" customHeight="1">
      <c r="A8" s="26" t="s">
        <v>429</v>
      </c>
      <c r="B8" s="307"/>
      <c r="C8" s="241"/>
      <c r="D8" s="215"/>
      <c r="E8" s="215"/>
      <c r="F8" s="215"/>
      <c r="G8" s="215"/>
      <c r="H8" s="215"/>
      <c r="I8" s="29">
        <f t="shared" ref="I8:I23" si="1">SUM(E8:H8)</f>
        <v>0</v>
      </c>
      <c r="J8" s="66">
        <f t="shared" si="0"/>
        <v>0</v>
      </c>
      <c r="K8" s="215"/>
      <c r="L8" s="216"/>
    </row>
    <row r="9" spans="1:12" ht="12.75" customHeight="1">
      <c r="A9" s="26" t="s">
        <v>331</v>
      </c>
      <c r="B9" s="307"/>
      <c r="C9" s="241"/>
      <c r="D9" s="215"/>
      <c r="E9" s="215"/>
      <c r="F9" s="215"/>
      <c r="G9" s="215"/>
      <c r="H9" s="215"/>
      <c r="I9" s="29">
        <f t="shared" si="1"/>
        <v>0</v>
      </c>
      <c r="J9" s="66">
        <f t="shared" si="0"/>
        <v>0</v>
      </c>
      <c r="K9" s="215"/>
      <c r="L9" s="216"/>
    </row>
    <row r="10" spans="1:12" ht="12.75" customHeight="1">
      <c r="A10" s="26" t="s">
        <v>332</v>
      </c>
      <c r="B10" s="307"/>
      <c r="C10" s="241"/>
      <c r="D10" s="215"/>
      <c r="E10" s="215"/>
      <c r="F10" s="215"/>
      <c r="G10" s="215"/>
      <c r="H10" s="215"/>
      <c r="I10" s="29">
        <f t="shared" si="1"/>
        <v>0</v>
      </c>
      <c r="J10" s="66">
        <f t="shared" si="0"/>
        <v>0</v>
      </c>
      <c r="K10" s="215"/>
      <c r="L10" s="216"/>
    </row>
    <row r="11" spans="1:12" ht="12.75" customHeight="1">
      <c r="A11" s="26" t="s">
        <v>333</v>
      </c>
      <c r="B11" s="307"/>
      <c r="C11" s="241"/>
      <c r="D11" s="215"/>
      <c r="E11" s="215"/>
      <c r="F11" s="215"/>
      <c r="G11" s="215"/>
      <c r="H11" s="215"/>
      <c r="I11" s="29">
        <f t="shared" si="1"/>
        <v>0</v>
      </c>
      <c r="J11" s="66">
        <f t="shared" si="0"/>
        <v>0</v>
      </c>
      <c r="K11" s="215"/>
      <c r="L11" s="216"/>
    </row>
    <row r="12" spans="1:12" ht="12.75" customHeight="1">
      <c r="A12" s="26" t="s">
        <v>920</v>
      </c>
      <c r="B12" s="307"/>
      <c r="C12" s="241"/>
      <c r="D12" s="215"/>
      <c r="E12" s="215"/>
      <c r="F12" s="215"/>
      <c r="G12" s="215"/>
      <c r="H12" s="215"/>
      <c r="I12" s="29">
        <f t="shared" si="1"/>
        <v>0</v>
      </c>
      <c r="J12" s="66">
        <f t="shared" si="0"/>
        <v>0</v>
      </c>
      <c r="K12" s="215"/>
      <c r="L12" s="216"/>
    </row>
    <row r="13" spans="1:12" ht="12.75" customHeight="1">
      <c r="A13" s="26" t="s">
        <v>334</v>
      </c>
      <c r="B13" s="307"/>
      <c r="C13" s="241"/>
      <c r="D13" s="215"/>
      <c r="E13" s="215"/>
      <c r="F13" s="215"/>
      <c r="G13" s="215"/>
      <c r="H13" s="215"/>
      <c r="I13" s="29">
        <f t="shared" si="1"/>
        <v>0</v>
      </c>
      <c r="J13" s="66">
        <f t="shared" si="0"/>
        <v>0</v>
      </c>
      <c r="K13" s="215"/>
      <c r="L13" s="216"/>
    </row>
    <row r="14" spans="1:12" ht="12.75" customHeight="1">
      <c r="A14" s="26" t="s">
        <v>431</v>
      </c>
      <c r="B14" s="307"/>
      <c r="C14" s="241"/>
      <c r="D14" s="215"/>
      <c r="E14" s="215"/>
      <c r="F14" s="215"/>
      <c r="G14" s="215"/>
      <c r="H14" s="215"/>
      <c r="I14" s="29">
        <f t="shared" si="1"/>
        <v>0</v>
      </c>
      <c r="J14" s="66">
        <f t="shared" si="0"/>
        <v>0</v>
      </c>
      <c r="K14" s="215"/>
      <c r="L14" s="216"/>
    </row>
    <row r="15" spans="1:12" ht="12.75" customHeight="1">
      <c r="A15" s="26" t="s">
        <v>338</v>
      </c>
      <c r="B15" s="307"/>
      <c r="C15" s="241">
        <v>0</v>
      </c>
      <c r="D15" s="215"/>
      <c r="E15" s="215"/>
      <c r="F15" s="215"/>
      <c r="G15" s="215"/>
      <c r="H15" s="215"/>
      <c r="I15" s="29">
        <f t="shared" si="1"/>
        <v>0</v>
      </c>
      <c r="J15" s="66">
        <f t="shared" si="0"/>
        <v>0</v>
      </c>
      <c r="K15" s="215"/>
      <c r="L15" s="216"/>
    </row>
    <row r="16" spans="1:12" ht="12.75" customHeight="1">
      <c r="A16" s="26" t="s">
        <v>339</v>
      </c>
      <c r="B16" s="307"/>
      <c r="C16" s="241"/>
      <c r="D16" s="215"/>
      <c r="E16" s="215"/>
      <c r="F16" s="215"/>
      <c r="G16" s="215"/>
      <c r="H16" s="215"/>
      <c r="I16" s="29">
        <f t="shared" si="1"/>
        <v>0</v>
      </c>
      <c r="J16" s="66">
        <f t="shared" si="0"/>
        <v>0</v>
      </c>
      <c r="K16" s="215"/>
      <c r="L16" s="216"/>
    </row>
    <row r="17" spans="1:12" ht="12.75" customHeight="1">
      <c r="A17" s="26" t="s">
        <v>392</v>
      </c>
      <c r="B17" s="307"/>
      <c r="C17" s="241"/>
      <c r="D17" s="215"/>
      <c r="E17" s="215"/>
      <c r="F17" s="215"/>
      <c r="G17" s="215"/>
      <c r="H17" s="215"/>
      <c r="I17" s="29">
        <f t="shared" si="1"/>
        <v>0</v>
      </c>
      <c r="J17" s="66">
        <f t="shared" si="0"/>
        <v>0</v>
      </c>
      <c r="K17" s="215"/>
      <c r="L17" s="216"/>
    </row>
    <row r="18" spans="1:12" ht="12.75" customHeight="1">
      <c r="A18" s="59" t="s">
        <v>340</v>
      </c>
      <c r="B18" s="307"/>
      <c r="C18" s="241"/>
      <c r="D18" s="215"/>
      <c r="E18" s="215"/>
      <c r="F18" s="215"/>
      <c r="G18" s="215"/>
      <c r="H18" s="215"/>
      <c r="I18" s="29">
        <f t="shared" si="1"/>
        <v>0</v>
      </c>
      <c r="J18" s="66">
        <f t="shared" si="0"/>
        <v>0</v>
      </c>
      <c r="K18" s="215"/>
      <c r="L18" s="216"/>
    </row>
    <row r="19" spans="1:12" ht="12.75" customHeight="1">
      <c r="A19" s="26" t="s">
        <v>341</v>
      </c>
      <c r="B19" s="307"/>
      <c r="C19" s="241"/>
      <c r="D19" s="215"/>
      <c r="E19" s="215"/>
      <c r="F19" s="215"/>
      <c r="G19" s="215"/>
      <c r="H19" s="215"/>
      <c r="I19" s="29">
        <f t="shared" si="1"/>
        <v>0</v>
      </c>
      <c r="J19" s="66">
        <f t="shared" si="0"/>
        <v>0</v>
      </c>
      <c r="K19" s="215"/>
      <c r="L19" s="216"/>
    </row>
    <row r="20" spans="1:12" ht="12.75" customHeight="1">
      <c r="A20" s="26" t="s">
        <v>120</v>
      </c>
      <c r="B20" s="307"/>
      <c r="C20" s="241"/>
      <c r="D20" s="215"/>
      <c r="E20" s="215"/>
      <c r="F20" s="215"/>
      <c r="G20" s="215"/>
      <c r="H20" s="215"/>
      <c r="I20" s="29">
        <f t="shared" si="1"/>
        <v>0</v>
      </c>
      <c r="J20" s="66">
        <f t="shared" si="0"/>
        <v>0</v>
      </c>
      <c r="K20" s="215"/>
      <c r="L20" s="216"/>
    </row>
    <row r="21" spans="1:12" ht="12.75" customHeight="1">
      <c r="A21" s="274" t="s">
        <v>913</v>
      </c>
      <c r="B21" s="307"/>
      <c r="C21" s="241"/>
      <c r="D21" s="215"/>
      <c r="E21" s="215"/>
      <c r="F21" s="215"/>
      <c r="G21" s="215"/>
      <c r="H21" s="215"/>
      <c r="I21" s="29">
        <f t="shared" si="1"/>
        <v>0</v>
      </c>
      <c r="J21" s="66">
        <f t="shared" si="0"/>
        <v>0</v>
      </c>
      <c r="K21" s="215"/>
      <c r="L21" s="216"/>
    </row>
    <row r="22" spans="1:12" ht="12.75" customHeight="1">
      <c r="A22" s="59" t="s">
        <v>18</v>
      </c>
      <c r="B22" s="307"/>
      <c r="C22" s="241">
        <v>5500000</v>
      </c>
      <c r="D22" s="215">
        <v>5500000</v>
      </c>
      <c r="E22" s="215"/>
      <c r="F22" s="215"/>
      <c r="G22" s="215"/>
      <c r="H22" s="215"/>
      <c r="I22" s="29">
        <f t="shared" si="1"/>
        <v>0</v>
      </c>
      <c r="J22" s="66">
        <f t="shared" si="0"/>
        <v>5500000</v>
      </c>
      <c r="K22" s="215">
        <v>6500000</v>
      </c>
      <c r="L22" s="216">
        <v>7000000</v>
      </c>
    </row>
    <row r="23" spans="1:12" ht="12.75" customHeight="1">
      <c r="A23" s="26" t="s">
        <v>342</v>
      </c>
      <c r="B23" s="307"/>
      <c r="C23" s="241"/>
      <c r="D23" s="215"/>
      <c r="E23" s="218"/>
      <c r="F23" s="218"/>
      <c r="G23" s="218"/>
      <c r="H23" s="218"/>
      <c r="I23" s="29">
        <f t="shared" si="1"/>
        <v>0</v>
      </c>
      <c r="J23" s="66">
        <f t="shared" si="0"/>
        <v>0</v>
      </c>
      <c r="K23" s="218"/>
      <c r="L23" s="219"/>
    </row>
    <row r="24" spans="1:12" ht="25.5" customHeight="1">
      <c r="A24" s="275" t="s">
        <v>542</v>
      </c>
      <c r="B24" s="113"/>
      <c r="C24" s="335">
        <f t="shared" ref="C24:L24" si="2">SUM(C7:C23)</f>
        <v>5500000</v>
      </c>
      <c r="D24" s="333">
        <f t="shared" si="2"/>
        <v>5500000</v>
      </c>
      <c r="E24" s="333">
        <f t="shared" si="2"/>
        <v>0</v>
      </c>
      <c r="F24" s="333">
        <f t="shared" si="2"/>
        <v>0</v>
      </c>
      <c r="G24" s="333">
        <f t="shared" si="2"/>
        <v>0</v>
      </c>
      <c r="H24" s="333">
        <f t="shared" si="2"/>
        <v>0</v>
      </c>
      <c r="I24" s="333">
        <f t="shared" si="2"/>
        <v>0</v>
      </c>
      <c r="J24" s="333">
        <f t="shared" si="2"/>
        <v>5500000</v>
      </c>
      <c r="K24" s="333">
        <f t="shared" si="2"/>
        <v>6500000</v>
      </c>
      <c r="L24" s="334">
        <f t="shared" si="2"/>
        <v>7000000</v>
      </c>
    </row>
    <row r="25" spans="1:12" ht="5.0999999999999996" customHeight="1">
      <c r="A25" s="27"/>
      <c r="B25" s="94"/>
      <c r="C25" s="30"/>
      <c r="D25" s="29"/>
      <c r="E25" s="29"/>
      <c r="F25" s="29"/>
      <c r="G25" s="29"/>
      <c r="H25" s="29"/>
      <c r="I25" s="29"/>
      <c r="J25" s="29"/>
      <c r="K25" s="29"/>
      <c r="L25" s="87"/>
    </row>
    <row r="26" spans="1:12" ht="12.75" customHeight="1">
      <c r="A26" s="23" t="s">
        <v>48</v>
      </c>
      <c r="B26" s="100"/>
      <c r="C26" s="30"/>
      <c r="D26" s="29"/>
      <c r="E26" s="29"/>
      <c r="F26" s="29"/>
      <c r="G26" s="29"/>
      <c r="H26" s="29"/>
      <c r="I26" s="29"/>
      <c r="J26" s="29"/>
      <c r="K26" s="29"/>
      <c r="L26" s="87"/>
    </row>
    <row r="27" spans="1:12" ht="12.75" customHeight="1">
      <c r="A27" s="26" t="s">
        <v>343</v>
      </c>
      <c r="B27" s="97"/>
      <c r="C27" s="241">
        <v>3453816.49</v>
      </c>
      <c r="D27" s="214">
        <f>2619380+982135</f>
        <v>3601515</v>
      </c>
      <c r="E27" s="215"/>
      <c r="F27" s="215"/>
      <c r="G27" s="215"/>
      <c r="H27" s="215"/>
      <c r="I27" s="29">
        <f t="shared" ref="I27:I38" si="3">SUM(E27:H27)</f>
        <v>0</v>
      </c>
      <c r="J27" s="29">
        <f t="shared" ref="J27:J38" si="4">IF(D27=0,C27+I27,D27+I27)</f>
        <v>3601515</v>
      </c>
      <c r="K27" s="215">
        <v>3882176</v>
      </c>
      <c r="L27" s="215">
        <v>4183057</v>
      </c>
    </row>
    <row r="28" spans="1:12" ht="12.75" customHeight="1">
      <c r="A28" s="26" t="s">
        <v>440</v>
      </c>
      <c r="B28" s="94"/>
      <c r="C28" s="241">
        <v>681028</v>
      </c>
      <c r="D28" s="215">
        <v>383112</v>
      </c>
      <c r="E28" s="215"/>
      <c r="F28" s="215"/>
      <c r="G28" s="215"/>
      <c r="H28" s="215"/>
      <c r="I28" s="29">
        <f t="shared" si="3"/>
        <v>0</v>
      </c>
      <c r="J28" s="29">
        <f t="shared" si="4"/>
        <v>383112</v>
      </c>
      <c r="K28" s="215">
        <v>356000</v>
      </c>
      <c r="L28" s="216">
        <v>395800</v>
      </c>
    </row>
    <row r="29" spans="1:12" ht="12.75" customHeight="1">
      <c r="A29" s="59" t="s">
        <v>145</v>
      </c>
      <c r="B29" s="97"/>
      <c r="C29" s="241"/>
      <c r="D29" s="215"/>
      <c r="E29" s="215"/>
      <c r="F29" s="215"/>
      <c r="G29" s="215"/>
      <c r="H29" s="215"/>
      <c r="I29" s="29">
        <f t="shared" si="3"/>
        <v>0</v>
      </c>
      <c r="J29" s="29">
        <f t="shared" si="4"/>
        <v>0</v>
      </c>
      <c r="K29" s="215"/>
      <c r="L29" s="216"/>
    </row>
    <row r="30" spans="1:12" ht="12.75" customHeight="1">
      <c r="A30" s="59" t="s">
        <v>344</v>
      </c>
      <c r="B30" s="97"/>
      <c r="C30" s="241"/>
      <c r="D30" s="215"/>
      <c r="E30" s="215"/>
      <c r="F30" s="215"/>
      <c r="G30" s="215"/>
      <c r="H30" s="215"/>
      <c r="I30" s="29">
        <f t="shared" si="3"/>
        <v>0</v>
      </c>
      <c r="J30" s="29">
        <f t="shared" si="4"/>
        <v>0</v>
      </c>
      <c r="K30" s="215"/>
      <c r="L30" s="216"/>
    </row>
    <row r="31" spans="1:12" ht="12.75" customHeight="1">
      <c r="A31" s="59" t="s">
        <v>193</v>
      </c>
      <c r="B31" s="97"/>
      <c r="C31" s="241"/>
      <c r="D31" s="215"/>
      <c r="E31" s="215"/>
      <c r="F31" s="215"/>
      <c r="G31" s="215"/>
      <c r="H31" s="215"/>
      <c r="I31" s="29">
        <f t="shared" si="3"/>
        <v>0</v>
      </c>
      <c r="J31" s="29">
        <f t="shared" si="4"/>
        <v>0</v>
      </c>
      <c r="K31" s="215"/>
      <c r="L31" s="216"/>
    </row>
    <row r="32" spans="1:12" ht="12.75" customHeight="1">
      <c r="A32" s="59" t="s">
        <v>17</v>
      </c>
      <c r="B32" s="97"/>
      <c r="C32" s="241">
        <f>0</f>
        <v>0</v>
      </c>
      <c r="D32" s="215">
        <f>0</f>
        <v>0</v>
      </c>
      <c r="E32" s="215"/>
      <c r="F32" s="215"/>
      <c r="G32" s="215"/>
      <c r="H32" s="215"/>
      <c r="I32" s="29">
        <f t="shared" si="3"/>
        <v>0</v>
      </c>
      <c r="J32" s="29">
        <f t="shared" si="4"/>
        <v>0</v>
      </c>
      <c r="K32" s="215"/>
      <c r="L32" s="216"/>
    </row>
    <row r="33" spans="1:12" ht="12.75" customHeight="1">
      <c r="A33" s="59" t="s">
        <v>345</v>
      </c>
      <c r="B33" s="97"/>
      <c r="C33" s="241"/>
      <c r="D33" s="215"/>
      <c r="E33" s="215"/>
      <c r="F33" s="215"/>
      <c r="G33" s="215"/>
      <c r="H33" s="215"/>
      <c r="I33" s="29">
        <f t="shared" si="3"/>
        <v>0</v>
      </c>
      <c r="J33" s="29">
        <f t="shared" si="4"/>
        <v>0</v>
      </c>
      <c r="K33" s="215"/>
      <c r="L33" s="216"/>
    </row>
    <row r="34" spans="1:12" ht="12.75" customHeight="1">
      <c r="A34" s="59" t="s">
        <v>390</v>
      </c>
      <c r="B34" s="97"/>
      <c r="C34" s="241"/>
      <c r="D34" s="215"/>
      <c r="E34" s="215"/>
      <c r="F34" s="215"/>
      <c r="G34" s="215"/>
      <c r="H34" s="215"/>
      <c r="I34" s="29">
        <f t="shared" si="3"/>
        <v>0</v>
      </c>
      <c r="J34" s="29">
        <f t="shared" si="4"/>
        <v>0</v>
      </c>
      <c r="K34" s="215"/>
      <c r="L34" s="216"/>
    </row>
    <row r="35" spans="1:12" ht="12.75" customHeight="1">
      <c r="A35" s="59" t="s">
        <v>346</v>
      </c>
      <c r="B35" s="97"/>
      <c r="C35" s="241">
        <v>376181.4</v>
      </c>
      <c r="D35" s="215">
        <v>251188</v>
      </c>
      <c r="E35" s="215"/>
      <c r="F35" s="215"/>
      <c r="G35" s="215"/>
      <c r="H35" s="215"/>
      <c r="I35" s="29">
        <f t="shared" si="3"/>
        <v>0</v>
      </c>
      <c r="J35" s="29">
        <f t="shared" si="4"/>
        <v>251188</v>
      </c>
      <c r="K35" s="215">
        <f>[8]Sheet1!$K$45</f>
        <v>323820.67</v>
      </c>
      <c r="L35" s="216">
        <f>[8]Sheet1!$M$45</f>
        <v>356202.53700000001</v>
      </c>
    </row>
    <row r="36" spans="1:12" ht="12.75" customHeight="1">
      <c r="A36" s="295" t="s">
        <v>543</v>
      </c>
      <c r="B36" s="97"/>
      <c r="C36" s="241"/>
      <c r="D36" s="215"/>
      <c r="E36" s="215"/>
      <c r="F36" s="215"/>
      <c r="G36" s="215"/>
      <c r="H36" s="215"/>
      <c r="I36" s="29">
        <f t="shared" si="3"/>
        <v>0</v>
      </c>
      <c r="J36" s="29">
        <f t="shared" si="4"/>
        <v>0</v>
      </c>
      <c r="K36" s="215"/>
      <c r="L36" s="216"/>
    </row>
    <row r="37" spans="1:12" ht="12.75" customHeight="1">
      <c r="A37" s="59" t="s">
        <v>2</v>
      </c>
      <c r="B37" s="97"/>
      <c r="C37" s="241">
        <f>2818344.93</f>
        <v>2818344.93</v>
      </c>
      <c r="D37" s="214">
        <f>83106+21300+1157779+2000</f>
        <v>1264185</v>
      </c>
      <c r="E37" s="215"/>
      <c r="F37" s="215"/>
      <c r="G37" s="215"/>
      <c r="H37" s="215"/>
      <c r="I37" s="29">
        <f t="shared" si="3"/>
        <v>0</v>
      </c>
      <c r="J37" s="29">
        <f t="shared" si="4"/>
        <v>1264185</v>
      </c>
      <c r="K37" s="215">
        <v>1938000</v>
      </c>
      <c r="L37" s="215">
        <v>2065000</v>
      </c>
    </row>
    <row r="38" spans="1:12" ht="12.75" customHeight="1">
      <c r="A38" s="26" t="s">
        <v>109</v>
      </c>
      <c r="B38" s="94"/>
      <c r="C38" s="241"/>
      <c r="D38" s="215"/>
      <c r="E38" s="215"/>
      <c r="F38" s="215"/>
      <c r="G38" s="215"/>
      <c r="H38" s="215"/>
      <c r="I38" s="29">
        <f t="shared" si="3"/>
        <v>0</v>
      </c>
      <c r="J38" s="29">
        <f t="shared" si="4"/>
        <v>0</v>
      </c>
      <c r="K38" s="215"/>
      <c r="L38" s="216"/>
    </row>
    <row r="39" spans="1:12" ht="12.75" customHeight="1">
      <c r="A39" s="61" t="s">
        <v>50</v>
      </c>
      <c r="B39" s="113"/>
      <c r="C39" s="50">
        <f t="shared" ref="C39:L39" si="5">SUM(C27:C38)</f>
        <v>7329370.8200000003</v>
      </c>
      <c r="D39" s="49">
        <f t="shared" si="5"/>
        <v>5500000</v>
      </c>
      <c r="E39" s="49">
        <f t="shared" si="5"/>
        <v>0</v>
      </c>
      <c r="F39" s="49">
        <f t="shared" si="5"/>
        <v>0</v>
      </c>
      <c r="G39" s="49">
        <f>SUM(G27:G38)</f>
        <v>0</v>
      </c>
      <c r="H39" s="49">
        <f>SUM(H27:H38)</f>
        <v>0</v>
      </c>
      <c r="I39" s="49">
        <f>SUM(I27:I38)</f>
        <v>0</v>
      </c>
      <c r="J39" s="49">
        <f t="shared" si="5"/>
        <v>5500000</v>
      </c>
      <c r="K39" s="49">
        <f t="shared" si="5"/>
        <v>6499996.6699999999</v>
      </c>
      <c r="L39" s="88">
        <f t="shared" si="5"/>
        <v>7000059.5370000005</v>
      </c>
    </row>
    <row r="40" spans="1:12" ht="12.75" customHeight="1">
      <c r="A40" s="60" t="s">
        <v>51</v>
      </c>
      <c r="B40" s="94"/>
      <c r="C40" s="30">
        <f>C24-C39</f>
        <v>-1829370.8200000003</v>
      </c>
      <c r="D40" s="29">
        <f t="shared" ref="D40:L40" si="6">D24-D39</f>
        <v>0</v>
      </c>
      <c r="E40" s="29">
        <f t="shared" si="6"/>
        <v>0</v>
      </c>
      <c r="F40" s="29">
        <f t="shared" si="6"/>
        <v>0</v>
      </c>
      <c r="G40" s="29">
        <f t="shared" si="6"/>
        <v>0</v>
      </c>
      <c r="H40" s="29">
        <f t="shared" si="6"/>
        <v>0</v>
      </c>
      <c r="I40" s="29">
        <f t="shared" si="6"/>
        <v>0</v>
      </c>
      <c r="J40" s="29">
        <f t="shared" si="6"/>
        <v>0</v>
      </c>
      <c r="K40" s="29">
        <f t="shared" si="6"/>
        <v>3.3300000000745058</v>
      </c>
      <c r="L40" s="87">
        <f t="shared" si="6"/>
        <v>-59.537000000476837</v>
      </c>
    </row>
    <row r="41" spans="1:12" ht="12.75" customHeight="1">
      <c r="A41" s="26" t="s">
        <v>425</v>
      </c>
      <c r="B41" s="94"/>
      <c r="C41" s="214"/>
      <c r="D41" s="215"/>
      <c r="E41" s="215"/>
      <c r="F41" s="215"/>
      <c r="G41" s="215"/>
      <c r="H41" s="215"/>
      <c r="I41" s="29">
        <f>SUM(E41:H41)</f>
        <v>0</v>
      </c>
      <c r="J41" s="29">
        <f>IF(D41=0,C41+I41,D41+I41)</f>
        <v>0</v>
      </c>
      <c r="K41" s="215"/>
      <c r="L41" s="216"/>
    </row>
    <row r="42" spans="1:12" ht="12.75" customHeight="1">
      <c r="A42" s="274" t="s">
        <v>921</v>
      </c>
      <c r="B42" s="94"/>
      <c r="C42" s="214"/>
      <c r="D42" s="215"/>
      <c r="E42" s="215"/>
      <c r="F42" s="215"/>
      <c r="G42" s="215"/>
      <c r="H42" s="215"/>
      <c r="I42" s="29">
        <f>SUM(E42:H42)</f>
        <v>0</v>
      </c>
      <c r="J42" s="29">
        <f>IF(D42=0,C42+I42,D42+I42)</f>
        <v>0</v>
      </c>
      <c r="K42" s="215"/>
      <c r="L42" s="216"/>
    </row>
    <row r="43" spans="1:12" ht="12.75" customHeight="1">
      <c r="A43" s="117" t="s">
        <v>63</v>
      </c>
      <c r="B43" s="118"/>
      <c r="C43" s="217"/>
      <c r="D43" s="218"/>
      <c r="E43" s="218"/>
      <c r="F43" s="218"/>
      <c r="G43" s="218"/>
      <c r="H43" s="218"/>
      <c r="I43" s="64">
        <f>SUM(E43:H43)</f>
        <v>0</v>
      </c>
      <c r="J43" s="64">
        <f>IF(D43=0,C43+I43,D43+I43)</f>
        <v>0</v>
      </c>
      <c r="K43" s="218"/>
      <c r="L43" s="219"/>
    </row>
    <row r="44" spans="1:12" ht="12.75" customHeight="1">
      <c r="A44" s="119" t="s">
        <v>426</v>
      </c>
      <c r="B44" s="120"/>
      <c r="C44" s="121">
        <f>C40+SUM(C41:C43)</f>
        <v>-1829370.8200000003</v>
      </c>
      <c r="D44" s="122">
        <f t="shared" ref="D44:L44" si="7">D40+SUM(D41:D43)</f>
        <v>0</v>
      </c>
      <c r="E44" s="122">
        <f t="shared" si="7"/>
        <v>0</v>
      </c>
      <c r="F44" s="122">
        <f t="shared" si="7"/>
        <v>0</v>
      </c>
      <c r="G44" s="122">
        <f t="shared" si="7"/>
        <v>0</v>
      </c>
      <c r="H44" s="122">
        <f t="shared" si="7"/>
        <v>0</v>
      </c>
      <c r="I44" s="122">
        <f t="shared" si="7"/>
        <v>0</v>
      </c>
      <c r="J44" s="122">
        <f>J40+SUM(J41:J43)</f>
        <v>0</v>
      </c>
      <c r="K44" s="122">
        <f t="shared" si="7"/>
        <v>3.3300000000745058</v>
      </c>
      <c r="L44" s="123">
        <f t="shared" si="7"/>
        <v>-59.537000000476837</v>
      </c>
    </row>
    <row r="45" spans="1:12" ht="12.75" customHeight="1">
      <c r="A45" s="26" t="s">
        <v>30</v>
      </c>
      <c r="B45" s="94"/>
      <c r="C45" s="214"/>
      <c r="D45" s="215"/>
      <c r="E45" s="218"/>
      <c r="F45" s="218"/>
      <c r="G45" s="218"/>
      <c r="H45" s="218"/>
      <c r="I45" s="64">
        <f>SUM(E45:H45)</f>
        <v>0</v>
      </c>
      <c r="J45" s="64">
        <f>IF(D45=0,C45+I45,D45+I45)</f>
        <v>0</v>
      </c>
      <c r="K45" s="215"/>
      <c r="L45" s="216"/>
    </row>
    <row r="46" spans="1:12" ht="12.75" customHeight="1">
      <c r="A46" s="35" t="s">
        <v>369</v>
      </c>
      <c r="B46" s="116"/>
      <c r="C46" s="37">
        <f>C44-C45</f>
        <v>-1829370.8200000003</v>
      </c>
      <c r="D46" s="36">
        <f t="shared" ref="D46:L46" si="8">D44-D45</f>
        <v>0</v>
      </c>
      <c r="E46" s="36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3.3300000000745058</v>
      </c>
      <c r="L46" s="115">
        <f t="shared" si="8"/>
        <v>-59.537000000476837</v>
      </c>
    </row>
    <row r="47" spans="1:12" ht="12.75" customHeight="1">
      <c r="A47" s="394" t="s">
        <v>176</v>
      </c>
      <c r="B47" s="68"/>
      <c r="C47" s="395"/>
      <c r="D47" s="395"/>
      <c r="E47" s="395"/>
      <c r="F47" s="395"/>
      <c r="G47" s="395"/>
      <c r="H47" s="395"/>
      <c r="I47" s="396"/>
      <c r="J47" s="396"/>
      <c r="K47" s="395"/>
      <c r="L47" s="395"/>
    </row>
    <row r="48" spans="1:12" ht="12.75" customHeight="1">
      <c r="A48" s="397" t="s">
        <v>531</v>
      </c>
      <c r="B48" s="68"/>
      <c r="C48" s="395"/>
      <c r="D48" s="395"/>
      <c r="E48" s="395"/>
      <c r="F48" s="395"/>
      <c r="G48" s="395"/>
      <c r="H48" s="395"/>
      <c r="I48" s="396"/>
      <c r="J48" s="396"/>
      <c r="K48" s="395"/>
      <c r="L48" s="395"/>
    </row>
    <row r="49" spans="1:12" ht="12.75" customHeight="1">
      <c r="A49" s="397" t="s">
        <v>532</v>
      </c>
      <c r="B49" s="68"/>
      <c r="C49" s="395"/>
      <c r="D49" s="395"/>
      <c r="E49" s="395"/>
      <c r="F49" s="395"/>
      <c r="G49" s="395"/>
      <c r="H49" s="395"/>
      <c r="I49" s="396"/>
      <c r="J49" s="396"/>
      <c r="K49" s="395"/>
      <c r="L49" s="395"/>
    </row>
    <row r="50" spans="1:12" ht="12.75" customHeight="1">
      <c r="A50" s="397" t="s">
        <v>533</v>
      </c>
      <c r="B50" s="68"/>
      <c r="C50" s="395"/>
      <c r="D50" s="395"/>
      <c r="E50" s="395"/>
      <c r="F50" s="395"/>
      <c r="G50" s="395"/>
      <c r="H50" s="395"/>
      <c r="I50" s="396"/>
      <c r="J50" s="396"/>
      <c r="K50" s="395"/>
      <c r="L50" s="395"/>
    </row>
    <row r="51" spans="1:12" ht="12.75" customHeight="1">
      <c r="A51" s="397" t="s">
        <v>928</v>
      </c>
      <c r="B51" s="68"/>
      <c r="C51" s="395"/>
      <c r="D51" s="395"/>
      <c r="E51" s="395"/>
      <c r="F51" s="395"/>
      <c r="G51" s="395"/>
      <c r="H51" s="395"/>
      <c r="I51" s="396"/>
      <c r="J51" s="396"/>
      <c r="K51" s="395"/>
      <c r="L51" s="395"/>
    </row>
    <row r="52" spans="1:12" ht="12.75" customHeight="1">
      <c r="A52" s="162"/>
      <c r="B52" s="68"/>
      <c r="C52" s="63"/>
      <c r="D52" s="63"/>
      <c r="E52" s="63"/>
      <c r="F52" s="63"/>
      <c r="G52" s="63"/>
      <c r="H52" s="63"/>
      <c r="I52" s="63"/>
      <c r="J52" s="63"/>
      <c r="K52" s="63"/>
      <c r="L52" s="62"/>
    </row>
    <row r="53" spans="1:12" ht="11.25" customHeight="1">
      <c r="A53" s="76"/>
      <c r="B53" s="20"/>
    </row>
    <row r="54" spans="1:12" ht="11.25" customHeight="1">
      <c r="A54" s="159"/>
      <c r="B54" s="20"/>
    </row>
    <row r="55" spans="1:12" ht="11.25" customHeight="1">
      <c r="A55" s="76"/>
      <c r="B55" s="20"/>
    </row>
    <row r="56" spans="1:12" ht="11.25" customHeight="1">
      <c r="A56" s="76"/>
      <c r="B56" s="20"/>
    </row>
    <row r="57" spans="1:12" ht="11.25" customHeight="1">
      <c r="A57" s="76"/>
      <c r="B57" s="20"/>
    </row>
    <row r="58" spans="1:12" ht="11.25" customHeight="1">
      <c r="A58" s="159"/>
      <c r="B58" s="20"/>
    </row>
    <row r="59" spans="1:12" ht="11.25" customHeight="1">
      <c r="A59" s="159"/>
      <c r="B59" s="20"/>
    </row>
    <row r="60" spans="1:12" ht="11.25" customHeight="1">
      <c r="B60" s="20"/>
    </row>
    <row r="61" spans="1:12" ht="11.25" customHeight="1">
      <c r="B61" s="20"/>
    </row>
    <row r="62" spans="1:12" ht="11.25" customHeight="1">
      <c r="B62" s="20"/>
    </row>
    <row r="63" spans="1:12" ht="11.25" customHeight="1">
      <c r="B63" s="20"/>
    </row>
    <row r="64" spans="1:12" ht="11.25" customHeight="1">
      <c r="B64" s="20"/>
    </row>
    <row r="65" spans="2:2" ht="11.25" customHeight="1">
      <c r="B65" s="20"/>
    </row>
    <row r="66" spans="2:2" ht="11.25" customHeight="1">
      <c r="B66" s="20"/>
    </row>
    <row r="67" spans="2:2" ht="11.25" customHeight="1">
      <c r="B67" s="20"/>
    </row>
    <row r="68" spans="2:2" ht="11.25" customHeight="1">
      <c r="B68" s="20"/>
    </row>
    <row r="69" spans="2:2" ht="11.25" customHeight="1">
      <c r="B69" s="20"/>
    </row>
    <row r="70" spans="2:2" ht="11.25" customHeight="1">
      <c r="B70" s="20"/>
    </row>
    <row r="71" spans="2:2" ht="11.25" customHeight="1">
      <c r="B71" s="20"/>
    </row>
    <row r="72" spans="2:2" ht="11.25" customHeight="1">
      <c r="B72" s="20"/>
    </row>
    <row r="73" spans="2:2" ht="11.25" customHeight="1">
      <c r="B73" s="20"/>
    </row>
    <row r="74" spans="2:2" ht="11.25" customHeight="1">
      <c r="B74" s="20"/>
    </row>
    <row r="75" spans="2:2" ht="11.25" customHeight="1">
      <c r="B75" s="20"/>
    </row>
    <row r="76" spans="2:2" ht="11.25" customHeight="1">
      <c r="B76" s="20"/>
    </row>
    <row r="77" spans="2:2" ht="11.25" customHeight="1">
      <c r="B77" s="20"/>
    </row>
    <row r="78" spans="2:2" ht="11.25" customHeight="1">
      <c r="B78" s="20"/>
    </row>
    <row r="79" spans="2:2" ht="11.25" customHeight="1">
      <c r="B79" s="20"/>
    </row>
    <row r="80" spans="2:2" ht="11.25" customHeight="1">
      <c r="B80" s="20"/>
    </row>
    <row r="81" spans="2:2" ht="11.25" customHeight="1">
      <c r="B81" s="20"/>
    </row>
    <row r="82" spans="2:2" ht="11.25" customHeight="1">
      <c r="B82" s="20"/>
    </row>
    <row r="83" spans="2:2" ht="11.25" customHeight="1">
      <c r="B83" s="20"/>
    </row>
    <row r="84" spans="2:2" ht="11.25" customHeight="1">
      <c r="B84" s="20"/>
    </row>
    <row r="85" spans="2:2" ht="11.25" customHeight="1"/>
  </sheetData>
  <mergeCells count="3">
    <mergeCell ref="C2:J2"/>
    <mergeCell ref="B2:B4"/>
    <mergeCell ref="A2:A4"/>
  </mergeCells>
  <phoneticPr fontId="2" type="noConversion"/>
  <dataValidations count="1">
    <dataValidation type="whole" allowBlank="1" showInputMessage="1" showErrorMessage="1" sqref="K45:L45 K7:L23 C7:H23 K27:L38 C41:H43 K41:L43 C45:H45 C27:H38">
      <formula1>-999999999999</formula1>
      <formula2>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47" enableFormatConditionsCalculation="0">
    <tabColor indexed="44"/>
  </sheetPr>
  <dimension ref="A1:L86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35.7109375" style="20" customWidth="1"/>
    <col min="2" max="2" width="3.140625" style="48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>
      <c r="A1" s="19" t="str">
        <f>MEAB2&amp;" - "&amp;Date</f>
        <v xml:space="preserve"> - Table E3 Adjustments Capital Expenditure Budget by vote and funding - </v>
      </c>
    </row>
    <row r="2" spans="1:12" ht="38.25">
      <c r="A2" s="426" t="str">
        <f>Vdesc</f>
        <v>Vote 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2" ht="25.5">
      <c r="A3" s="427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2">
      <c r="A4" s="427"/>
      <c r="B4" s="427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2">
      <c r="A5" s="127" t="s">
        <v>199</v>
      </c>
      <c r="B5" s="128"/>
      <c r="C5" s="201" t="s">
        <v>111</v>
      </c>
      <c r="D5" s="202" t="s">
        <v>325</v>
      </c>
      <c r="E5" s="202" t="s">
        <v>81</v>
      </c>
      <c r="F5" s="202" t="s">
        <v>37</v>
      </c>
      <c r="G5" s="204" t="s">
        <v>139</v>
      </c>
      <c r="H5" s="204" t="s">
        <v>12</v>
      </c>
      <c r="I5" s="204" t="s">
        <v>13</v>
      </c>
      <c r="J5" s="204" t="s">
        <v>14</v>
      </c>
      <c r="K5" s="133"/>
      <c r="L5" s="172"/>
    </row>
    <row r="6" spans="1:12" ht="12.75" customHeight="1">
      <c r="A6" s="23" t="s">
        <v>546</v>
      </c>
      <c r="B6" s="94"/>
      <c r="C6" s="30"/>
      <c r="D6" s="29"/>
      <c r="E6" s="29"/>
      <c r="F6" s="29"/>
      <c r="G6" s="29"/>
      <c r="H6" s="29"/>
      <c r="I6" s="29"/>
      <c r="J6" s="29"/>
      <c r="K6" s="29"/>
      <c r="L6" s="107"/>
    </row>
    <row r="7" spans="1:12" ht="12.75" customHeight="1">
      <c r="A7" s="220" t="s">
        <v>547</v>
      </c>
      <c r="B7" s="94"/>
      <c r="C7" s="214"/>
      <c r="D7" s="215"/>
      <c r="E7" s="215"/>
      <c r="F7" s="215"/>
      <c r="G7" s="215"/>
      <c r="H7" s="215"/>
      <c r="I7" s="29">
        <f>SUM(E7:H7)</f>
        <v>0</v>
      </c>
      <c r="J7" s="29">
        <f>IF(D7=0,C7+I7,D7+I7)</f>
        <v>0</v>
      </c>
      <c r="K7" s="215"/>
      <c r="L7" s="216"/>
    </row>
    <row r="8" spans="1:12" ht="12.75" customHeight="1">
      <c r="A8" s="222" t="s">
        <v>934</v>
      </c>
      <c r="B8" s="94"/>
      <c r="C8" s="214">
        <f>[9]SD7a!C58</f>
        <v>0</v>
      </c>
      <c r="D8" s="215">
        <v>25000</v>
      </c>
      <c r="E8" s="215"/>
      <c r="F8" s="215"/>
      <c r="G8" s="215"/>
      <c r="H8" s="215"/>
      <c r="I8" s="29">
        <f>SUM(E8:H8)</f>
        <v>0</v>
      </c>
      <c r="J8" s="29">
        <f>IF(D8=0,C8+I8,D8+I8)</f>
        <v>25000</v>
      </c>
      <c r="K8" s="215">
        <v>28000</v>
      </c>
      <c r="L8" s="216">
        <v>25000</v>
      </c>
    </row>
    <row r="9" spans="1:12" ht="12.75" customHeight="1">
      <c r="A9" s="222"/>
      <c r="B9" s="94"/>
      <c r="C9" s="214"/>
      <c r="D9" s="215"/>
      <c r="E9" s="215"/>
      <c r="F9" s="215"/>
      <c r="G9" s="215"/>
      <c r="H9" s="215"/>
      <c r="I9" s="29">
        <f t="shared" ref="I9:I17" si="0">SUM(E9:H9)</f>
        <v>0</v>
      </c>
      <c r="J9" s="29">
        <f t="shared" ref="J9:J17" si="1">IF(D9=0,C9+I9,D9+I9)</f>
        <v>0</v>
      </c>
      <c r="K9" s="215"/>
      <c r="L9" s="216"/>
    </row>
    <row r="10" spans="1:12" ht="12.75" customHeight="1">
      <c r="A10" s="222"/>
      <c r="B10" s="94"/>
      <c r="C10" s="214"/>
      <c r="D10" s="215"/>
      <c r="E10" s="215"/>
      <c r="F10" s="215"/>
      <c r="G10" s="215"/>
      <c r="H10" s="215"/>
      <c r="I10" s="29">
        <f t="shared" si="0"/>
        <v>0</v>
      </c>
      <c r="J10" s="29">
        <f t="shared" si="1"/>
        <v>0</v>
      </c>
      <c r="K10" s="215"/>
      <c r="L10" s="216"/>
    </row>
    <row r="11" spans="1:12" ht="12.75" customHeight="1">
      <c r="A11" s="222"/>
      <c r="B11" s="94"/>
      <c r="C11" s="214"/>
      <c r="D11" s="215"/>
      <c r="E11" s="215"/>
      <c r="F11" s="215"/>
      <c r="G11" s="215"/>
      <c r="H11" s="215"/>
      <c r="I11" s="29">
        <f t="shared" si="0"/>
        <v>0</v>
      </c>
      <c r="J11" s="29">
        <f t="shared" si="1"/>
        <v>0</v>
      </c>
      <c r="K11" s="215"/>
      <c r="L11" s="216"/>
    </row>
    <row r="12" spans="1:12" ht="12.75" customHeight="1">
      <c r="A12" s="222"/>
      <c r="B12" s="94"/>
      <c r="C12" s="214"/>
      <c r="D12" s="215"/>
      <c r="E12" s="215"/>
      <c r="F12" s="215"/>
      <c r="G12" s="215"/>
      <c r="H12" s="215"/>
      <c r="I12" s="29">
        <f t="shared" si="0"/>
        <v>0</v>
      </c>
      <c r="J12" s="29">
        <f t="shared" si="1"/>
        <v>0</v>
      </c>
      <c r="K12" s="215"/>
      <c r="L12" s="216"/>
    </row>
    <row r="13" spans="1:12" ht="12.75" customHeight="1">
      <c r="A13" s="222"/>
      <c r="B13" s="94"/>
      <c r="C13" s="214"/>
      <c r="D13" s="215"/>
      <c r="E13" s="215"/>
      <c r="F13" s="215"/>
      <c r="G13" s="215"/>
      <c r="H13" s="215"/>
      <c r="I13" s="29">
        <f t="shared" si="0"/>
        <v>0</v>
      </c>
      <c r="J13" s="29">
        <f t="shared" si="1"/>
        <v>0</v>
      </c>
      <c r="K13" s="215"/>
      <c r="L13" s="216"/>
    </row>
    <row r="14" spans="1:12" ht="12.75" customHeight="1">
      <c r="A14" s="222"/>
      <c r="B14" s="94"/>
      <c r="C14" s="214"/>
      <c r="D14" s="215"/>
      <c r="E14" s="215"/>
      <c r="F14" s="215"/>
      <c r="G14" s="215"/>
      <c r="H14" s="215"/>
      <c r="I14" s="29">
        <f t="shared" si="0"/>
        <v>0</v>
      </c>
      <c r="J14" s="29">
        <f t="shared" si="1"/>
        <v>0</v>
      </c>
      <c r="K14" s="215"/>
      <c r="L14" s="216"/>
    </row>
    <row r="15" spans="1:12" ht="12.75" customHeight="1">
      <c r="A15" s="222"/>
      <c r="B15" s="94"/>
      <c r="C15" s="214"/>
      <c r="D15" s="215"/>
      <c r="E15" s="215"/>
      <c r="F15" s="215"/>
      <c r="G15" s="215"/>
      <c r="H15" s="215"/>
      <c r="I15" s="29">
        <f t="shared" si="0"/>
        <v>0</v>
      </c>
      <c r="J15" s="29">
        <f t="shared" si="1"/>
        <v>0</v>
      </c>
      <c r="K15" s="215"/>
      <c r="L15" s="216"/>
    </row>
    <row r="16" spans="1:12" ht="12.75" customHeight="1">
      <c r="A16" s="222"/>
      <c r="B16" s="94"/>
      <c r="C16" s="214"/>
      <c r="D16" s="215"/>
      <c r="E16" s="215"/>
      <c r="F16" s="215"/>
      <c r="G16" s="215"/>
      <c r="H16" s="215"/>
      <c r="I16" s="29">
        <f t="shared" si="0"/>
        <v>0</v>
      </c>
      <c r="J16" s="29">
        <f t="shared" si="1"/>
        <v>0</v>
      </c>
      <c r="K16" s="215"/>
      <c r="L16" s="216"/>
    </row>
    <row r="17" spans="1:12" s="288" customFormat="1" ht="12.75" customHeight="1">
      <c r="A17" s="287" t="s">
        <v>919</v>
      </c>
      <c r="B17" s="97"/>
      <c r="C17" s="338">
        <f t="shared" ref="C17:H17" si="2">SUM(C7:C16)</f>
        <v>0</v>
      </c>
      <c r="D17" s="339">
        <f t="shared" si="2"/>
        <v>25000</v>
      </c>
      <c r="E17" s="339">
        <f t="shared" si="2"/>
        <v>0</v>
      </c>
      <c r="F17" s="339">
        <f t="shared" si="2"/>
        <v>0</v>
      </c>
      <c r="G17" s="339">
        <f t="shared" si="2"/>
        <v>0</v>
      </c>
      <c r="H17" s="339">
        <f t="shared" si="2"/>
        <v>0</v>
      </c>
      <c r="I17" s="285">
        <f t="shared" si="0"/>
        <v>0</v>
      </c>
      <c r="J17" s="285">
        <f t="shared" si="1"/>
        <v>25000</v>
      </c>
      <c r="K17" s="339">
        <f>SUM(K7:K16)</f>
        <v>28000</v>
      </c>
      <c r="L17" s="340">
        <f>SUM(L7:L16)</f>
        <v>25000</v>
      </c>
    </row>
    <row r="18" spans="1:12" ht="3.75" customHeight="1">
      <c r="A18" s="276"/>
      <c r="B18" s="94"/>
      <c r="C18" s="289"/>
      <c r="D18" s="261"/>
      <c r="E18" s="261"/>
      <c r="F18" s="261"/>
      <c r="G18" s="261"/>
      <c r="H18" s="261"/>
      <c r="I18" s="243"/>
      <c r="J18" s="243"/>
      <c r="K18" s="261"/>
      <c r="L18" s="265"/>
    </row>
    <row r="19" spans="1:12" ht="12.75" customHeight="1">
      <c r="A19" s="277" t="s">
        <v>548</v>
      </c>
      <c r="B19" s="94"/>
      <c r="C19" s="289"/>
      <c r="D19" s="261"/>
      <c r="E19" s="261"/>
      <c r="F19" s="261"/>
      <c r="G19" s="261"/>
      <c r="H19" s="261"/>
      <c r="I19" s="243"/>
      <c r="J19" s="243"/>
      <c r="K19" s="261"/>
      <c r="L19" s="265"/>
    </row>
    <row r="20" spans="1:12" ht="12.75" customHeight="1">
      <c r="A20" s="278" t="s">
        <v>549</v>
      </c>
      <c r="B20" s="94"/>
      <c r="C20" s="214"/>
      <c r="D20" s="215"/>
      <c r="E20" s="215"/>
      <c r="F20" s="215"/>
      <c r="G20" s="215"/>
      <c r="H20" s="215"/>
      <c r="I20" s="29">
        <f t="shared" ref="I20:I31" si="3">SUM(E20:H20)</f>
        <v>0</v>
      </c>
      <c r="J20" s="29">
        <f t="shared" ref="J20:J31" si="4">IF(D20=0,C20+I20,D20+I20)</f>
        <v>0</v>
      </c>
      <c r="K20" s="215"/>
      <c r="L20" s="216"/>
    </row>
    <row r="21" spans="1:12" ht="12.75" customHeight="1">
      <c r="A21" s="279"/>
      <c r="B21" s="94"/>
      <c r="C21" s="214"/>
      <c r="D21" s="215"/>
      <c r="E21" s="215"/>
      <c r="F21" s="215"/>
      <c r="G21" s="215"/>
      <c r="H21" s="215"/>
      <c r="I21" s="29">
        <f t="shared" si="3"/>
        <v>0</v>
      </c>
      <c r="J21" s="29">
        <f t="shared" si="4"/>
        <v>0</v>
      </c>
      <c r="K21" s="215"/>
      <c r="L21" s="216"/>
    </row>
    <row r="22" spans="1:12" ht="12.75" customHeight="1">
      <c r="A22" s="222"/>
      <c r="B22" s="94"/>
      <c r="C22" s="214"/>
      <c r="D22" s="215"/>
      <c r="E22" s="215"/>
      <c r="F22" s="215"/>
      <c r="G22" s="215"/>
      <c r="H22" s="215"/>
      <c r="I22" s="29">
        <f t="shared" si="3"/>
        <v>0</v>
      </c>
      <c r="J22" s="29">
        <f t="shared" si="4"/>
        <v>0</v>
      </c>
      <c r="K22" s="215"/>
      <c r="L22" s="216"/>
    </row>
    <row r="23" spans="1:12" ht="12.75" customHeight="1">
      <c r="A23" s="222"/>
      <c r="B23" s="94"/>
      <c r="C23" s="214"/>
      <c r="D23" s="215"/>
      <c r="E23" s="215"/>
      <c r="F23" s="215"/>
      <c r="G23" s="215"/>
      <c r="H23" s="215"/>
      <c r="I23" s="29">
        <f t="shared" si="3"/>
        <v>0</v>
      </c>
      <c r="J23" s="29">
        <f t="shared" si="4"/>
        <v>0</v>
      </c>
      <c r="K23" s="215"/>
      <c r="L23" s="216"/>
    </row>
    <row r="24" spans="1:12" ht="12.75" customHeight="1">
      <c r="A24" s="222"/>
      <c r="B24" s="94"/>
      <c r="C24" s="214"/>
      <c r="D24" s="215"/>
      <c r="E24" s="215"/>
      <c r="F24" s="215"/>
      <c r="G24" s="215"/>
      <c r="H24" s="215"/>
      <c r="I24" s="29">
        <f t="shared" si="3"/>
        <v>0</v>
      </c>
      <c r="J24" s="29">
        <f t="shared" si="4"/>
        <v>0</v>
      </c>
      <c r="K24" s="215"/>
      <c r="L24" s="216"/>
    </row>
    <row r="25" spans="1:12" ht="12.75" customHeight="1">
      <c r="A25" s="222"/>
      <c r="B25" s="94"/>
      <c r="C25" s="214"/>
      <c r="D25" s="215"/>
      <c r="E25" s="215"/>
      <c r="F25" s="215"/>
      <c r="G25" s="215"/>
      <c r="H25" s="215"/>
      <c r="I25" s="29">
        <f t="shared" si="3"/>
        <v>0</v>
      </c>
      <c r="J25" s="29">
        <f t="shared" si="4"/>
        <v>0</v>
      </c>
      <c r="K25" s="215"/>
      <c r="L25" s="216"/>
    </row>
    <row r="26" spans="1:12" ht="12.75" customHeight="1">
      <c r="A26" s="222"/>
      <c r="B26" s="94"/>
      <c r="C26" s="214"/>
      <c r="D26" s="215"/>
      <c r="E26" s="215"/>
      <c r="F26" s="215"/>
      <c r="G26" s="215"/>
      <c r="H26" s="215"/>
      <c r="I26" s="29">
        <f t="shared" si="3"/>
        <v>0</v>
      </c>
      <c r="J26" s="29">
        <f t="shared" si="4"/>
        <v>0</v>
      </c>
      <c r="K26" s="215"/>
      <c r="L26" s="216"/>
    </row>
    <row r="27" spans="1:12" ht="12.75" customHeight="1">
      <c r="A27" s="222"/>
      <c r="B27" s="94"/>
      <c r="C27" s="214"/>
      <c r="D27" s="215"/>
      <c r="E27" s="215"/>
      <c r="F27" s="215"/>
      <c r="G27" s="215"/>
      <c r="H27" s="215"/>
      <c r="I27" s="29">
        <f t="shared" si="3"/>
        <v>0</v>
      </c>
      <c r="J27" s="29">
        <f t="shared" si="4"/>
        <v>0</v>
      </c>
      <c r="K27" s="215"/>
      <c r="L27" s="216"/>
    </row>
    <row r="28" spans="1:12" ht="12.75" customHeight="1">
      <c r="A28" s="222"/>
      <c r="B28" s="94"/>
      <c r="C28" s="214"/>
      <c r="D28" s="215"/>
      <c r="E28" s="215"/>
      <c r="F28" s="215"/>
      <c r="G28" s="215"/>
      <c r="H28" s="215"/>
      <c r="I28" s="29">
        <f t="shared" si="3"/>
        <v>0</v>
      </c>
      <c r="J28" s="29">
        <f t="shared" si="4"/>
        <v>0</v>
      </c>
      <c r="K28" s="215"/>
      <c r="L28" s="216"/>
    </row>
    <row r="29" spans="1:12" ht="12.75" customHeight="1">
      <c r="A29" s="222"/>
      <c r="B29" s="94"/>
      <c r="C29" s="214"/>
      <c r="D29" s="215"/>
      <c r="E29" s="215"/>
      <c r="F29" s="215"/>
      <c r="G29" s="215"/>
      <c r="H29" s="215"/>
      <c r="I29" s="29">
        <f t="shared" si="3"/>
        <v>0</v>
      </c>
      <c r="J29" s="29">
        <f t="shared" si="4"/>
        <v>0</v>
      </c>
      <c r="K29" s="215"/>
      <c r="L29" s="216"/>
    </row>
    <row r="30" spans="1:12" ht="12.75" customHeight="1">
      <c r="A30" s="222"/>
      <c r="B30" s="94"/>
      <c r="C30" s="214"/>
      <c r="D30" s="215"/>
      <c r="E30" s="215"/>
      <c r="F30" s="215"/>
      <c r="G30" s="215"/>
      <c r="H30" s="215"/>
      <c r="I30" s="29">
        <f t="shared" si="3"/>
        <v>0</v>
      </c>
      <c r="J30" s="29">
        <f t="shared" si="4"/>
        <v>0</v>
      </c>
      <c r="K30" s="215"/>
      <c r="L30" s="216"/>
    </row>
    <row r="31" spans="1:12" ht="12.75" customHeight="1">
      <c r="A31" s="60" t="s">
        <v>550</v>
      </c>
      <c r="B31" s="94"/>
      <c r="C31" s="341">
        <f t="shared" ref="C31:H31" si="5">SUM(C20:C30)</f>
        <v>0</v>
      </c>
      <c r="D31" s="342">
        <f t="shared" si="5"/>
        <v>0</v>
      </c>
      <c r="E31" s="342">
        <f t="shared" si="5"/>
        <v>0</v>
      </c>
      <c r="F31" s="342">
        <f t="shared" si="5"/>
        <v>0</v>
      </c>
      <c r="G31" s="342">
        <f t="shared" si="5"/>
        <v>0</v>
      </c>
      <c r="H31" s="342">
        <f t="shared" si="5"/>
        <v>0</v>
      </c>
      <c r="I31" s="286">
        <f t="shared" si="3"/>
        <v>0</v>
      </c>
      <c r="J31" s="286">
        <f t="shared" si="4"/>
        <v>0</v>
      </c>
      <c r="K31" s="342">
        <f>SUM(K20:K30)</f>
        <v>0</v>
      </c>
      <c r="L31" s="343">
        <f>SUM(L20:L30)</f>
        <v>0</v>
      </c>
    </row>
    <row r="32" spans="1:12" ht="12.75" customHeight="1">
      <c r="A32" s="61" t="s">
        <v>104</v>
      </c>
      <c r="B32" s="113"/>
      <c r="C32" s="282">
        <f t="shared" ref="C32:J32" si="6">C17+C31</f>
        <v>0</v>
      </c>
      <c r="D32" s="283">
        <f t="shared" si="6"/>
        <v>25000</v>
      </c>
      <c r="E32" s="283">
        <f t="shared" si="6"/>
        <v>0</v>
      </c>
      <c r="F32" s="283">
        <f t="shared" si="6"/>
        <v>0</v>
      </c>
      <c r="G32" s="283">
        <f t="shared" si="6"/>
        <v>0</v>
      </c>
      <c r="H32" s="283">
        <f t="shared" si="6"/>
        <v>0</v>
      </c>
      <c r="I32" s="283">
        <f t="shared" si="6"/>
        <v>0</v>
      </c>
      <c r="J32" s="283">
        <f t="shared" si="6"/>
        <v>25000</v>
      </c>
      <c r="K32" s="283">
        <f>K17+K31</f>
        <v>28000</v>
      </c>
      <c r="L32" s="284">
        <f>L17+L31</f>
        <v>25000</v>
      </c>
    </row>
    <row r="33" spans="1:12" ht="5.25" customHeight="1">
      <c r="A33" s="27"/>
      <c r="B33" s="94"/>
      <c r="C33" s="30"/>
      <c r="D33" s="29"/>
      <c r="E33" s="29"/>
      <c r="F33" s="29"/>
      <c r="G33" s="29"/>
      <c r="H33" s="29"/>
      <c r="I33" s="29"/>
      <c r="J33" s="29"/>
      <c r="K33" s="29"/>
      <c r="L33" s="87"/>
    </row>
    <row r="34" spans="1:12" ht="12.75" customHeight="1">
      <c r="A34" s="23" t="s">
        <v>34</v>
      </c>
      <c r="B34" s="94"/>
      <c r="C34" s="30"/>
      <c r="D34" s="29"/>
      <c r="E34" s="29"/>
      <c r="F34" s="29"/>
      <c r="G34" s="29"/>
      <c r="H34" s="29"/>
      <c r="I34" s="29"/>
      <c r="J34" s="29"/>
      <c r="K34" s="29"/>
      <c r="L34" s="87"/>
    </row>
    <row r="35" spans="1:12" ht="12.75" customHeight="1">
      <c r="A35" s="290" t="s">
        <v>15</v>
      </c>
      <c r="B35" s="94"/>
      <c r="C35" s="214"/>
      <c r="D35" s="215"/>
      <c r="E35" s="215"/>
      <c r="F35" s="215"/>
      <c r="G35" s="215"/>
      <c r="H35" s="215"/>
      <c r="I35" s="29">
        <f>SUM(E35:H35)</f>
        <v>0</v>
      </c>
      <c r="J35" s="29">
        <f>IF(D35=0,C35+I35,D35+I35)</f>
        <v>0</v>
      </c>
      <c r="K35" s="215"/>
      <c r="L35" s="216"/>
    </row>
    <row r="36" spans="1:12" ht="12.75" customHeight="1">
      <c r="A36" s="290" t="s">
        <v>137</v>
      </c>
      <c r="B36" s="94"/>
      <c r="C36" s="214"/>
      <c r="D36" s="215"/>
      <c r="E36" s="215"/>
      <c r="F36" s="215"/>
      <c r="G36" s="215"/>
      <c r="H36" s="215"/>
      <c r="I36" s="29">
        <f>SUM(E36:H36)</f>
        <v>0</v>
      </c>
      <c r="J36" s="29">
        <f>IF(D36=0,C36+I36,D36+I36)</f>
        <v>0</v>
      </c>
      <c r="K36" s="215"/>
      <c r="L36" s="216"/>
    </row>
    <row r="37" spans="1:12" ht="12.75" customHeight="1">
      <c r="A37" s="290" t="s">
        <v>296</v>
      </c>
      <c r="B37" s="94"/>
      <c r="C37" s="214"/>
      <c r="D37" s="215"/>
      <c r="E37" s="215"/>
      <c r="F37" s="215"/>
      <c r="G37" s="215"/>
      <c r="H37" s="215"/>
      <c r="I37" s="29">
        <f>SUM(E37:H37)</f>
        <v>0</v>
      </c>
      <c r="J37" s="29">
        <f>IF(D37=0,C37+I37,D37+I37)</f>
        <v>0</v>
      </c>
      <c r="K37" s="215"/>
      <c r="L37" s="216"/>
    </row>
    <row r="38" spans="1:12" ht="12.75" customHeight="1">
      <c r="A38" s="290" t="s">
        <v>138</v>
      </c>
      <c r="B38" s="94"/>
      <c r="C38" s="214"/>
      <c r="D38" s="215"/>
      <c r="E38" s="215"/>
      <c r="F38" s="215"/>
      <c r="G38" s="215"/>
      <c r="H38" s="215"/>
      <c r="I38" s="29">
        <f>SUM(E38:H38)</f>
        <v>0</v>
      </c>
      <c r="J38" s="29">
        <f>IF(D38=0,C38+I38,D38+I38)</f>
        <v>0</v>
      </c>
      <c r="K38" s="215"/>
      <c r="L38" s="216"/>
    </row>
    <row r="39" spans="1:12" ht="12.75" customHeight="1">
      <c r="A39" s="377" t="s">
        <v>425</v>
      </c>
      <c r="B39" s="113"/>
      <c r="C39" s="50">
        <f>SUM(C35:C38)</f>
        <v>0</v>
      </c>
      <c r="D39" s="49">
        <f t="shared" ref="D39:L39" si="7">SUM(D35:D38)</f>
        <v>0</v>
      </c>
      <c r="E39" s="49">
        <f t="shared" si="7"/>
        <v>0</v>
      </c>
      <c r="F39" s="49">
        <f t="shared" si="7"/>
        <v>0</v>
      </c>
      <c r="G39" s="49">
        <f t="shared" si="7"/>
        <v>0</v>
      </c>
      <c r="H39" s="49">
        <f t="shared" si="7"/>
        <v>0</v>
      </c>
      <c r="I39" s="49">
        <f>SUM(I35:I38)</f>
        <v>0</v>
      </c>
      <c r="J39" s="49">
        <f>SUM(J35:J38)</f>
        <v>0</v>
      </c>
      <c r="K39" s="49">
        <f t="shared" si="7"/>
        <v>0</v>
      </c>
      <c r="L39" s="88">
        <f t="shared" si="7"/>
        <v>0</v>
      </c>
    </row>
    <row r="40" spans="1:12" ht="12.75" customHeight="1">
      <c r="A40" s="344" t="s">
        <v>38</v>
      </c>
      <c r="B40" s="94"/>
      <c r="C40" s="214"/>
      <c r="D40" s="215"/>
      <c r="E40" s="215"/>
      <c r="F40" s="215"/>
      <c r="G40" s="215"/>
      <c r="H40" s="215"/>
      <c r="I40" s="29">
        <f>SUM(E40:H40)</f>
        <v>0</v>
      </c>
      <c r="J40" s="29">
        <f>IF(D40=0,C40+I40,D40+I40)</f>
        <v>0</v>
      </c>
      <c r="K40" s="215"/>
      <c r="L40" s="216"/>
    </row>
    <row r="41" spans="1:12" ht="12.75" customHeight="1">
      <c r="A41" s="291" t="s">
        <v>280</v>
      </c>
      <c r="B41" s="94"/>
      <c r="C41" s="214"/>
      <c r="D41" s="215"/>
      <c r="E41" s="215"/>
      <c r="F41" s="215"/>
      <c r="G41" s="215"/>
      <c r="H41" s="215"/>
      <c r="I41" s="29">
        <f>SUM(E41:H41)</f>
        <v>0</v>
      </c>
      <c r="J41" s="29">
        <f>IF(D41=0,C41+I41,D41+I41)</f>
        <v>0</v>
      </c>
      <c r="K41" s="215"/>
      <c r="L41" s="216"/>
    </row>
    <row r="42" spans="1:12" ht="12.75" customHeight="1">
      <c r="A42" s="344" t="s">
        <v>35</v>
      </c>
      <c r="B42" s="94"/>
      <c r="C42" s="214"/>
      <c r="D42" s="215"/>
      <c r="E42" s="215"/>
      <c r="F42" s="215"/>
      <c r="G42" s="215"/>
      <c r="H42" s="215"/>
      <c r="I42" s="29">
        <f>SUM(E42:H42)</f>
        <v>0</v>
      </c>
      <c r="J42" s="29">
        <f>IF(D42=0,C42+I42,D42+I42)</f>
        <v>0</v>
      </c>
      <c r="K42" s="215"/>
      <c r="L42" s="216"/>
    </row>
    <row r="43" spans="1:12" ht="12.75" customHeight="1">
      <c r="A43" s="35" t="s">
        <v>368</v>
      </c>
      <c r="B43" s="116"/>
      <c r="C43" s="37">
        <f t="shared" ref="C43:L43" si="8">SUM(C39:C42)</f>
        <v>0</v>
      </c>
      <c r="D43" s="36">
        <f t="shared" si="8"/>
        <v>0</v>
      </c>
      <c r="E43" s="36">
        <f t="shared" si="8"/>
        <v>0</v>
      </c>
      <c r="F43" s="36">
        <f t="shared" si="8"/>
        <v>0</v>
      </c>
      <c r="G43" s="36">
        <f t="shared" si="8"/>
        <v>0</v>
      </c>
      <c r="H43" s="36">
        <f t="shared" si="8"/>
        <v>0</v>
      </c>
      <c r="I43" s="36">
        <f t="shared" si="8"/>
        <v>0</v>
      </c>
      <c r="J43" s="36">
        <f t="shared" si="8"/>
        <v>0</v>
      </c>
      <c r="K43" s="36">
        <f t="shared" si="8"/>
        <v>0</v>
      </c>
      <c r="L43" s="115">
        <f t="shared" si="8"/>
        <v>0</v>
      </c>
    </row>
    <row r="44" spans="1:12" ht="12.75" customHeight="1">
      <c r="A44" s="38" t="s">
        <v>176</v>
      </c>
      <c r="B44" s="39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ht="12.75" customHeight="1">
      <c r="A45" s="54" t="s">
        <v>436</v>
      </c>
      <c r="B45" s="39"/>
      <c r="C45" s="42"/>
      <c r="D45" s="42"/>
      <c r="E45" s="43"/>
      <c r="F45" s="43"/>
      <c r="G45" s="43"/>
      <c r="H45" s="43"/>
      <c r="I45" s="43"/>
      <c r="J45" s="43"/>
      <c r="K45" s="43"/>
      <c r="L45" s="43"/>
    </row>
    <row r="46" spans="1:12" ht="12.75" customHeight="1">
      <c r="A46" s="159" t="s">
        <v>112</v>
      </c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</row>
    <row r="47" spans="1:12" ht="12.75" customHeight="1">
      <c r="A47" s="54" t="s">
        <v>438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</row>
    <row r="48" spans="1:12" ht="12.75" customHeight="1">
      <c r="A48" s="54" t="s">
        <v>439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</row>
    <row r="49" spans="1:12" ht="12.75" customHeight="1">
      <c r="A49" s="54" t="s">
        <v>232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</row>
    <row r="50" spans="1:12" ht="12.75" customHeight="1">
      <c r="A50" s="159" t="s">
        <v>233</v>
      </c>
      <c r="B50" s="39"/>
      <c r="C50" s="42"/>
      <c r="D50" s="42"/>
      <c r="E50" s="43"/>
      <c r="F50" s="43"/>
      <c r="G50" s="43"/>
      <c r="H50" s="43"/>
      <c r="I50" s="43"/>
      <c r="J50" s="43"/>
      <c r="K50" s="43"/>
      <c r="L50" s="43"/>
    </row>
    <row r="51" spans="1:12" ht="11.25" customHeight="1">
      <c r="A51" s="159" t="s">
        <v>234</v>
      </c>
      <c r="B51" s="44"/>
      <c r="C51" s="57"/>
      <c r="D51" s="57"/>
      <c r="E51" s="46"/>
      <c r="F51" s="46"/>
      <c r="G51" s="46"/>
      <c r="H51" s="46"/>
      <c r="I51" s="46"/>
      <c r="J51" s="46"/>
      <c r="K51" s="46"/>
      <c r="L51" s="46"/>
    </row>
    <row r="52" spans="1:12" ht="11.25" customHeight="1"/>
    <row r="53" spans="1:12" ht="11.25" customHeight="1"/>
    <row r="54" spans="1:12" ht="11.25" customHeight="1"/>
    <row r="55" spans="1:12" ht="11.25" customHeight="1"/>
    <row r="56" spans="1:12" ht="11.25" customHeight="1"/>
    <row r="57" spans="1:12" ht="11.25" customHeight="1"/>
    <row r="58" spans="1:12" ht="11.25" customHeight="1"/>
    <row r="59" spans="1:12" ht="11.25" customHeight="1"/>
    <row r="60" spans="1:12" ht="11.25" customHeight="1"/>
    <row r="61" spans="1:12" ht="11.25" customHeight="1"/>
    <row r="62" spans="1:12" ht="11.25" customHeight="1"/>
    <row r="63" spans="1:12" ht="11.25" customHeight="1"/>
    <row r="64" spans="1:12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</sheetData>
  <mergeCells count="3">
    <mergeCell ref="C2:J2"/>
    <mergeCell ref="B2:B4"/>
    <mergeCell ref="A2:A4"/>
  </mergeCells>
  <phoneticPr fontId="2" type="noConversion"/>
  <dataValidations count="1">
    <dataValidation type="whole" allowBlank="1" showInputMessage="1" showErrorMessage="1" sqref="C7:H16 K7:L16 C20:H30 K20:L30 C35:H38 K35:L38 C40:H42 K40:L42">
      <formula1>-999999999999</formula1>
      <formula2>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48" enableFormatConditionsCalculation="0">
    <tabColor indexed="44"/>
  </sheetPr>
  <dimension ref="A1:L92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30.7109375" style="20" customWidth="1"/>
    <col min="2" max="2" width="3.140625" style="48" customWidth="1"/>
    <col min="3" max="12" width="8.7109375" style="20" customWidth="1"/>
    <col min="13" max="13" width="9.85546875" style="20" customWidth="1"/>
    <col min="14" max="16" width="9.5703125" style="20" customWidth="1"/>
    <col min="17" max="17" width="9.85546875" style="20" customWidth="1"/>
    <col min="18" max="20" width="9.5703125" style="20" customWidth="1"/>
    <col min="21" max="22" width="9.85546875" style="20" customWidth="1"/>
    <col min="23" max="16384" width="9.140625" style="20"/>
  </cols>
  <sheetData>
    <row r="1" spans="1:12" ht="13.5">
      <c r="A1" s="19" t="str">
        <f>MEAB3&amp;" - "&amp;Date</f>
        <v xml:space="preserve"> - Table E4 Adjustments Budget - Financial Position - </v>
      </c>
    </row>
    <row r="2" spans="1:12" ht="38.25">
      <c r="A2" s="426" t="str">
        <f>desc</f>
        <v>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2" ht="25.5">
      <c r="A3" s="427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2">
      <c r="A4" s="427"/>
      <c r="B4" s="427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2">
      <c r="A5" s="22" t="s">
        <v>199</v>
      </c>
      <c r="B5" s="104"/>
      <c r="C5" s="201" t="s">
        <v>111</v>
      </c>
      <c r="D5" s="202" t="s">
        <v>325</v>
      </c>
      <c r="E5" s="202" t="s">
        <v>81</v>
      </c>
      <c r="F5" s="202" t="s">
        <v>37</v>
      </c>
      <c r="G5" s="204" t="s">
        <v>139</v>
      </c>
      <c r="H5" s="204" t="s">
        <v>12</v>
      </c>
      <c r="I5" s="204" t="s">
        <v>13</v>
      </c>
      <c r="J5" s="204" t="s">
        <v>14</v>
      </c>
      <c r="K5" s="134"/>
      <c r="L5" s="173"/>
    </row>
    <row r="6" spans="1:12" ht="12.75" customHeight="1">
      <c r="A6" s="60" t="s">
        <v>84</v>
      </c>
      <c r="B6" s="94"/>
      <c r="C6" s="30"/>
      <c r="D6" s="29"/>
      <c r="E6" s="29"/>
      <c r="F6" s="29"/>
      <c r="G6" s="29"/>
      <c r="H6" s="29"/>
      <c r="I6" s="29"/>
      <c r="J6" s="29"/>
      <c r="K6" s="29"/>
      <c r="L6" s="87"/>
    </row>
    <row r="7" spans="1:12" ht="12.75" customHeight="1">
      <c r="A7" s="60" t="s">
        <v>85</v>
      </c>
      <c r="B7" s="94"/>
      <c r="C7" s="30"/>
      <c r="D7" s="29"/>
      <c r="E7" s="29"/>
      <c r="F7" s="29"/>
      <c r="G7" s="29"/>
      <c r="H7" s="29"/>
      <c r="I7" s="29"/>
      <c r="J7" s="29"/>
      <c r="K7" s="29"/>
      <c r="L7" s="87"/>
    </row>
    <row r="8" spans="1:12" ht="12.75" customHeight="1">
      <c r="A8" s="26" t="s">
        <v>291</v>
      </c>
      <c r="B8" s="94">
        <v>1</v>
      </c>
      <c r="C8" s="214"/>
      <c r="D8" s="215"/>
      <c r="E8" s="215"/>
      <c r="F8" s="215"/>
      <c r="G8" s="215"/>
      <c r="H8" s="215"/>
      <c r="I8" s="29">
        <f t="shared" ref="I8:I13" si="0">SUM(E8:H8)</f>
        <v>0</v>
      </c>
      <c r="J8" s="29">
        <f t="shared" ref="J8:J13" si="1">IF(D8=0,C8+I8,D8+I8)</f>
        <v>0</v>
      </c>
      <c r="K8" s="215"/>
      <c r="L8" s="216"/>
    </row>
    <row r="9" spans="1:12" ht="12.75" customHeight="1">
      <c r="A9" s="26" t="s">
        <v>130</v>
      </c>
      <c r="B9" s="94">
        <v>1</v>
      </c>
      <c r="C9" s="214"/>
      <c r="D9" s="215"/>
      <c r="E9" s="215"/>
      <c r="F9" s="215"/>
      <c r="G9" s="215"/>
      <c r="H9" s="215"/>
      <c r="I9" s="29">
        <f t="shared" si="0"/>
        <v>0</v>
      </c>
      <c r="J9" s="29">
        <f t="shared" si="1"/>
        <v>0</v>
      </c>
      <c r="K9" s="215"/>
      <c r="L9" s="216"/>
    </row>
    <row r="10" spans="1:12" ht="12.75" customHeight="1">
      <c r="A10" s="26" t="s">
        <v>128</v>
      </c>
      <c r="B10" s="94"/>
      <c r="C10" s="214"/>
      <c r="D10" s="215"/>
      <c r="E10" s="215"/>
      <c r="F10" s="215"/>
      <c r="G10" s="215"/>
      <c r="H10" s="215"/>
      <c r="I10" s="29">
        <f t="shared" si="0"/>
        <v>0</v>
      </c>
      <c r="J10" s="29">
        <f t="shared" si="1"/>
        <v>0</v>
      </c>
      <c r="K10" s="215"/>
      <c r="L10" s="216"/>
    </row>
    <row r="11" spans="1:12" ht="12.75" customHeight="1">
      <c r="A11" s="26" t="s">
        <v>129</v>
      </c>
      <c r="B11" s="94"/>
      <c r="C11" s="214"/>
      <c r="D11" s="215"/>
      <c r="E11" s="215"/>
      <c r="F11" s="215"/>
      <c r="G11" s="215"/>
      <c r="H11" s="215"/>
      <c r="I11" s="29">
        <f t="shared" si="0"/>
        <v>0</v>
      </c>
      <c r="J11" s="29">
        <f t="shared" si="1"/>
        <v>0</v>
      </c>
      <c r="K11" s="215"/>
      <c r="L11" s="216"/>
    </row>
    <row r="12" spans="1:12" ht="12.75" customHeight="1">
      <c r="A12" s="26" t="s">
        <v>292</v>
      </c>
      <c r="B12" s="94"/>
      <c r="C12" s="214"/>
      <c r="D12" s="215"/>
      <c r="E12" s="215"/>
      <c r="F12" s="215"/>
      <c r="G12" s="215"/>
      <c r="H12" s="215"/>
      <c r="I12" s="29">
        <f t="shared" si="0"/>
        <v>0</v>
      </c>
      <c r="J12" s="29">
        <f t="shared" si="1"/>
        <v>0</v>
      </c>
      <c r="K12" s="215"/>
      <c r="L12" s="216"/>
    </row>
    <row r="13" spans="1:12" ht="12.75" customHeight="1">
      <c r="A13" s="26" t="s">
        <v>127</v>
      </c>
      <c r="B13" s="94"/>
      <c r="C13" s="214"/>
      <c r="D13" s="215"/>
      <c r="E13" s="215"/>
      <c r="F13" s="215"/>
      <c r="G13" s="215"/>
      <c r="H13" s="215"/>
      <c r="I13" s="29">
        <f t="shared" si="0"/>
        <v>0</v>
      </c>
      <c r="J13" s="29">
        <f t="shared" si="1"/>
        <v>0</v>
      </c>
      <c r="K13" s="215"/>
      <c r="L13" s="216"/>
    </row>
    <row r="14" spans="1:12" ht="12.75" customHeight="1">
      <c r="A14" s="60" t="s">
        <v>159</v>
      </c>
      <c r="B14" s="94"/>
      <c r="C14" s="50">
        <f t="shared" ref="C14:J14" si="2">SUM(C8:C13)</f>
        <v>0</v>
      </c>
      <c r="D14" s="49">
        <f t="shared" si="2"/>
        <v>0</v>
      </c>
      <c r="E14" s="49">
        <f t="shared" si="2"/>
        <v>0</v>
      </c>
      <c r="F14" s="49">
        <f t="shared" si="2"/>
        <v>0</v>
      </c>
      <c r="G14" s="49">
        <f t="shared" si="2"/>
        <v>0</v>
      </c>
      <c r="H14" s="49">
        <f t="shared" si="2"/>
        <v>0</v>
      </c>
      <c r="I14" s="49">
        <f t="shared" si="2"/>
        <v>0</v>
      </c>
      <c r="J14" s="49">
        <f t="shared" si="2"/>
        <v>0</v>
      </c>
      <c r="K14" s="49">
        <f>SUM(K8:K13)</f>
        <v>0</v>
      </c>
      <c r="L14" s="88">
        <f>SUM(L8:L13)</f>
        <v>0</v>
      </c>
    </row>
    <row r="15" spans="1:12" ht="5.0999999999999996" customHeight="1">
      <c r="A15" s="27"/>
      <c r="B15" s="94"/>
      <c r="C15" s="30"/>
      <c r="D15" s="29"/>
      <c r="E15" s="29"/>
      <c r="F15" s="29"/>
      <c r="G15" s="29"/>
      <c r="H15" s="29"/>
      <c r="I15" s="29"/>
      <c r="J15" s="29"/>
      <c r="K15" s="29"/>
      <c r="L15" s="87"/>
    </row>
    <row r="16" spans="1:12" ht="12.75" customHeight="1">
      <c r="A16" s="60" t="s">
        <v>19</v>
      </c>
      <c r="B16" s="94"/>
      <c r="C16" s="30"/>
      <c r="D16" s="29"/>
      <c r="E16" s="29"/>
      <c r="F16" s="29"/>
      <c r="G16" s="29"/>
      <c r="H16" s="29"/>
      <c r="I16" s="29"/>
      <c r="J16" s="29"/>
      <c r="K16" s="29"/>
      <c r="L16" s="87"/>
    </row>
    <row r="17" spans="1:12" ht="12.75" customHeight="1">
      <c r="A17" s="26" t="s">
        <v>126</v>
      </c>
      <c r="B17" s="94"/>
      <c r="C17" s="214"/>
      <c r="D17" s="215"/>
      <c r="E17" s="215"/>
      <c r="F17" s="215"/>
      <c r="G17" s="215"/>
      <c r="H17" s="215"/>
      <c r="I17" s="29">
        <f t="shared" ref="I17:I23" si="3">SUM(E17:H17)</f>
        <v>0</v>
      </c>
      <c r="J17" s="29">
        <f t="shared" ref="J17:J23" si="4">IF(D17=0,C17+I17,D17+I17)</f>
        <v>0</v>
      </c>
      <c r="K17" s="215"/>
      <c r="L17" s="216"/>
    </row>
    <row r="18" spans="1:12" ht="12.75" customHeight="1">
      <c r="A18" s="26" t="s">
        <v>86</v>
      </c>
      <c r="B18" s="94"/>
      <c r="C18" s="214"/>
      <c r="D18" s="215"/>
      <c r="E18" s="215"/>
      <c r="F18" s="215"/>
      <c r="G18" s="215"/>
      <c r="H18" s="215"/>
      <c r="I18" s="29">
        <f t="shared" si="3"/>
        <v>0</v>
      </c>
      <c r="J18" s="29">
        <f t="shared" si="4"/>
        <v>0</v>
      </c>
      <c r="K18" s="215"/>
      <c r="L18" s="216"/>
    </row>
    <row r="19" spans="1:12" ht="12.75" customHeight="1">
      <c r="A19" s="26" t="s">
        <v>125</v>
      </c>
      <c r="B19" s="94"/>
      <c r="C19" s="214"/>
      <c r="D19" s="215"/>
      <c r="E19" s="215"/>
      <c r="F19" s="215"/>
      <c r="G19" s="215"/>
      <c r="H19" s="215"/>
      <c r="I19" s="29">
        <f t="shared" si="3"/>
        <v>0</v>
      </c>
      <c r="J19" s="29">
        <f t="shared" si="4"/>
        <v>0</v>
      </c>
      <c r="K19" s="215"/>
      <c r="L19" s="216"/>
    </row>
    <row r="20" spans="1:12" ht="12.75" customHeight="1">
      <c r="A20" s="26" t="s">
        <v>124</v>
      </c>
      <c r="B20" s="94"/>
      <c r="C20" s="214"/>
      <c r="D20" s="215"/>
      <c r="E20" s="215"/>
      <c r="F20" s="215"/>
      <c r="G20" s="215"/>
      <c r="H20" s="215"/>
      <c r="I20" s="29">
        <f t="shared" si="3"/>
        <v>0</v>
      </c>
      <c r="J20" s="29">
        <f t="shared" si="4"/>
        <v>0</v>
      </c>
      <c r="K20" s="215"/>
      <c r="L20" s="216"/>
    </row>
    <row r="21" spans="1:12" ht="12.75" customHeight="1">
      <c r="A21" s="26" t="s">
        <v>312</v>
      </c>
      <c r="B21" s="94"/>
      <c r="C21" s="214"/>
      <c r="D21" s="215"/>
      <c r="E21" s="215"/>
      <c r="F21" s="215"/>
      <c r="G21" s="215"/>
      <c r="H21" s="215"/>
      <c r="I21" s="29">
        <f t="shared" si="3"/>
        <v>0</v>
      </c>
      <c r="J21" s="29">
        <f t="shared" si="4"/>
        <v>0</v>
      </c>
      <c r="K21" s="215"/>
      <c r="L21" s="216"/>
    </row>
    <row r="22" spans="1:12" ht="12.75" customHeight="1">
      <c r="A22" s="26" t="s">
        <v>28</v>
      </c>
      <c r="B22" s="94"/>
      <c r="C22" s="214"/>
      <c r="D22" s="215"/>
      <c r="E22" s="215"/>
      <c r="F22" s="215"/>
      <c r="G22" s="215"/>
      <c r="H22" s="215"/>
      <c r="I22" s="29">
        <f t="shared" si="3"/>
        <v>0</v>
      </c>
      <c r="J22" s="29">
        <f t="shared" si="4"/>
        <v>0</v>
      </c>
      <c r="K22" s="215"/>
      <c r="L22" s="216"/>
    </row>
    <row r="23" spans="1:12" ht="12.75" customHeight="1">
      <c r="A23" s="26" t="s">
        <v>29</v>
      </c>
      <c r="B23" s="94"/>
      <c r="C23" s="214"/>
      <c r="D23" s="215"/>
      <c r="E23" s="215"/>
      <c r="F23" s="215"/>
      <c r="G23" s="215"/>
      <c r="H23" s="215"/>
      <c r="I23" s="29">
        <f t="shared" si="3"/>
        <v>0</v>
      </c>
      <c r="J23" s="29">
        <f t="shared" si="4"/>
        <v>0</v>
      </c>
      <c r="K23" s="215"/>
      <c r="L23" s="216"/>
    </row>
    <row r="24" spans="1:12" ht="12.75" customHeight="1">
      <c r="A24" s="61" t="s">
        <v>158</v>
      </c>
      <c r="B24" s="113"/>
      <c r="C24" s="50">
        <f t="shared" ref="C24:J24" si="5">SUM(C17:C23)</f>
        <v>0</v>
      </c>
      <c r="D24" s="49">
        <f t="shared" si="5"/>
        <v>0</v>
      </c>
      <c r="E24" s="49">
        <f t="shared" si="5"/>
        <v>0</v>
      </c>
      <c r="F24" s="49">
        <f t="shared" si="5"/>
        <v>0</v>
      </c>
      <c r="G24" s="49">
        <f t="shared" si="5"/>
        <v>0</v>
      </c>
      <c r="H24" s="49">
        <f t="shared" si="5"/>
        <v>0</v>
      </c>
      <c r="I24" s="49">
        <f t="shared" si="5"/>
        <v>0</v>
      </c>
      <c r="J24" s="49">
        <f t="shared" si="5"/>
        <v>0</v>
      </c>
      <c r="K24" s="49">
        <f>SUM(K17:K23)</f>
        <v>0</v>
      </c>
      <c r="L24" s="88">
        <f>SUM(L17:L23)</f>
        <v>0</v>
      </c>
    </row>
    <row r="25" spans="1:12" ht="12.75" customHeight="1">
      <c r="A25" s="61" t="s">
        <v>278</v>
      </c>
      <c r="B25" s="113"/>
      <c r="C25" s="50">
        <f t="shared" ref="C25:J25" si="6">C14+C24</f>
        <v>0</v>
      </c>
      <c r="D25" s="49">
        <f t="shared" si="6"/>
        <v>0</v>
      </c>
      <c r="E25" s="49">
        <f t="shared" si="6"/>
        <v>0</v>
      </c>
      <c r="F25" s="49">
        <f t="shared" si="6"/>
        <v>0</v>
      </c>
      <c r="G25" s="49">
        <f t="shared" si="6"/>
        <v>0</v>
      </c>
      <c r="H25" s="49">
        <f t="shared" si="6"/>
        <v>0</v>
      </c>
      <c r="I25" s="49">
        <f t="shared" si="6"/>
        <v>0</v>
      </c>
      <c r="J25" s="49">
        <f t="shared" si="6"/>
        <v>0</v>
      </c>
      <c r="K25" s="49">
        <f>K14+K24</f>
        <v>0</v>
      </c>
      <c r="L25" s="88">
        <f>L14+L24</f>
        <v>0</v>
      </c>
    </row>
    <row r="26" spans="1:12" ht="5.0999999999999996" customHeight="1">
      <c r="A26" s="27"/>
      <c r="B26" s="94"/>
      <c r="C26" s="30"/>
      <c r="D26" s="29"/>
      <c r="E26" s="29"/>
      <c r="F26" s="29"/>
      <c r="G26" s="29"/>
      <c r="H26" s="29"/>
      <c r="I26" s="29"/>
      <c r="J26" s="29"/>
      <c r="K26" s="29"/>
      <c r="L26" s="87"/>
    </row>
    <row r="27" spans="1:12" ht="12.75" customHeight="1">
      <c r="A27" s="60" t="s">
        <v>20</v>
      </c>
      <c r="B27" s="94"/>
      <c r="C27" s="30"/>
      <c r="D27" s="29"/>
      <c r="E27" s="29"/>
      <c r="F27" s="29"/>
      <c r="G27" s="29"/>
      <c r="H27" s="29"/>
      <c r="I27" s="29"/>
      <c r="J27" s="29"/>
      <c r="K27" s="29"/>
      <c r="L27" s="87"/>
    </row>
    <row r="28" spans="1:12" ht="12.75" customHeight="1">
      <c r="A28" s="60" t="s">
        <v>87</v>
      </c>
      <c r="B28" s="100"/>
      <c r="C28" s="30"/>
      <c r="D28" s="29"/>
      <c r="E28" s="29"/>
      <c r="F28" s="29"/>
      <c r="G28" s="29"/>
      <c r="H28" s="29"/>
      <c r="I28" s="29"/>
      <c r="J28" s="29"/>
      <c r="K28" s="29"/>
      <c r="L28" s="87"/>
    </row>
    <row r="29" spans="1:12" ht="12.75" customHeight="1">
      <c r="A29" s="26" t="s">
        <v>259</v>
      </c>
      <c r="B29" s="94">
        <v>1</v>
      </c>
      <c r="C29" s="214"/>
      <c r="D29" s="215"/>
      <c r="E29" s="215"/>
      <c r="F29" s="215"/>
      <c r="G29" s="215"/>
      <c r="H29" s="215"/>
      <c r="I29" s="29">
        <f>SUM(E29:H29)</f>
        <v>0</v>
      </c>
      <c r="J29" s="29">
        <f>IF(D29=0,C29+I29,D29+I29)</f>
        <v>0</v>
      </c>
      <c r="K29" s="215"/>
      <c r="L29" s="216"/>
    </row>
    <row r="30" spans="1:12" ht="12.75" customHeight="1">
      <c r="A30" s="26" t="s">
        <v>280</v>
      </c>
      <c r="B30" s="94"/>
      <c r="C30" s="214"/>
      <c r="D30" s="215"/>
      <c r="E30" s="215"/>
      <c r="F30" s="215"/>
      <c r="G30" s="215"/>
      <c r="H30" s="215"/>
      <c r="I30" s="29">
        <f>SUM(E30:H30)</f>
        <v>0</v>
      </c>
      <c r="J30" s="29">
        <f>IF(D30=0,C30+I30,D30+I30)</f>
        <v>0</v>
      </c>
      <c r="K30" s="215"/>
      <c r="L30" s="216"/>
    </row>
    <row r="31" spans="1:12" ht="12.75" customHeight="1">
      <c r="A31" s="26" t="s">
        <v>123</v>
      </c>
      <c r="B31" s="94"/>
      <c r="C31" s="214"/>
      <c r="D31" s="215"/>
      <c r="E31" s="215"/>
      <c r="F31" s="215"/>
      <c r="G31" s="215"/>
      <c r="H31" s="215"/>
      <c r="I31" s="29">
        <f>SUM(E31:H31)</f>
        <v>0</v>
      </c>
      <c r="J31" s="29">
        <f>IF(D31=0,C31+I31,D31+I31)</f>
        <v>0</v>
      </c>
      <c r="K31" s="215"/>
      <c r="L31" s="216"/>
    </row>
    <row r="32" spans="1:12" ht="12.75" customHeight="1">
      <c r="A32" s="26" t="s">
        <v>293</v>
      </c>
      <c r="B32" s="94"/>
      <c r="C32" s="214"/>
      <c r="D32" s="215"/>
      <c r="E32" s="215"/>
      <c r="F32" s="215"/>
      <c r="G32" s="215"/>
      <c r="H32" s="215"/>
      <c r="I32" s="29">
        <f>SUM(E32:H32)</f>
        <v>0</v>
      </c>
      <c r="J32" s="29">
        <f>IF(D32=0,C32+I32,D32+I32)</f>
        <v>0</v>
      </c>
      <c r="K32" s="215"/>
      <c r="L32" s="216"/>
    </row>
    <row r="33" spans="1:12" ht="12.75" customHeight="1">
      <c r="A33" s="26" t="s">
        <v>88</v>
      </c>
      <c r="B33" s="94"/>
      <c r="C33" s="214"/>
      <c r="D33" s="215"/>
      <c r="E33" s="215"/>
      <c r="F33" s="215"/>
      <c r="G33" s="215"/>
      <c r="H33" s="215"/>
      <c r="I33" s="29">
        <f>SUM(E33:H33)</f>
        <v>0</v>
      </c>
      <c r="J33" s="29">
        <f>IF(D33=0,C33+I33,D33+I33)</f>
        <v>0</v>
      </c>
      <c r="K33" s="215"/>
      <c r="L33" s="216"/>
    </row>
    <row r="34" spans="1:12" ht="12.75" customHeight="1">
      <c r="A34" s="61" t="s">
        <v>23</v>
      </c>
      <c r="B34" s="113"/>
      <c r="C34" s="50">
        <f t="shared" ref="C34:J34" si="7">SUM(C29:C33)</f>
        <v>0</v>
      </c>
      <c r="D34" s="49">
        <f t="shared" si="7"/>
        <v>0</v>
      </c>
      <c r="E34" s="49">
        <f t="shared" si="7"/>
        <v>0</v>
      </c>
      <c r="F34" s="49">
        <f t="shared" si="7"/>
        <v>0</v>
      </c>
      <c r="G34" s="49">
        <f t="shared" si="7"/>
        <v>0</v>
      </c>
      <c r="H34" s="49">
        <f t="shared" si="7"/>
        <v>0</v>
      </c>
      <c r="I34" s="49">
        <f t="shared" si="7"/>
        <v>0</v>
      </c>
      <c r="J34" s="49">
        <f t="shared" si="7"/>
        <v>0</v>
      </c>
      <c r="K34" s="49">
        <f>SUM(K29:K33)</f>
        <v>0</v>
      </c>
      <c r="L34" s="88">
        <f>SUM(L29:L33)</f>
        <v>0</v>
      </c>
    </row>
    <row r="35" spans="1:12" ht="5.0999999999999996" customHeight="1">
      <c r="A35" s="27"/>
      <c r="B35" s="94"/>
      <c r="C35" s="30"/>
      <c r="D35" s="29"/>
      <c r="E35" s="29"/>
      <c r="F35" s="29"/>
      <c r="G35" s="29"/>
      <c r="H35" s="29"/>
      <c r="I35" s="29"/>
      <c r="J35" s="29"/>
      <c r="K35" s="29"/>
      <c r="L35" s="87"/>
    </row>
    <row r="36" spans="1:12" ht="12.75" customHeight="1">
      <c r="A36" s="60" t="s">
        <v>21</v>
      </c>
      <c r="B36" s="94"/>
      <c r="C36" s="30"/>
      <c r="D36" s="29"/>
      <c r="E36" s="29"/>
      <c r="F36" s="29"/>
      <c r="G36" s="29"/>
      <c r="H36" s="29"/>
      <c r="I36" s="29"/>
      <c r="J36" s="29"/>
      <c r="K36" s="29"/>
      <c r="L36" s="87"/>
    </row>
    <row r="37" spans="1:12" ht="12.75" customHeight="1">
      <c r="A37" s="26" t="s">
        <v>280</v>
      </c>
      <c r="B37" s="94"/>
      <c r="C37" s="214"/>
      <c r="D37" s="215"/>
      <c r="E37" s="215"/>
      <c r="F37" s="215"/>
      <c r="G37" s="215"/>
      <c r="H37" s="215"/>
      <c r="I37" s="29">
        <f>SUM(E37:H37)</f>
        <v>0</v>
      </c>
      <c r="J37" s="29">
        <f>IF(D37=0,C37+I37,D37+I37)</f>
        <v>0</v>
      </c>
      <c r="K37" s="215"/>
      <c r="L37" s="216"/>
    </row>
    <row r="38" spans="1:12" ht="12.75" customHeight="1">
      <c r="A38" s="26" t="s">
        <v>88</v>
      </c>
      <c r="B38" s="94"/>
      <c r="C38" s="214"/>
      <c r="D38" s="215"/>
      <c r="E38" s="215"/>
      <c r="F38" s="215"/>
      <c r="G38" s="215"/>
      <c r="H38" s="215"/>
      <c r="I38" s="29">
        <f>SUM(E38:H38)</f>
        <v>0</v>
      </c>
      <c r="J38" s="29">
        <f>IF(D38=0,C38+I38,D38+I38)</f>
        <v>0</v>
      </c>
      <c r="K38" s="215"/>
      <c r="L38" s="216"/>
    </row>
    <row r="39" spans="1:12" ht="12.75" customHeight="1">
      <c r="A39" s="61" t="s">
        <v>22</v>
      </c>
      <c r="B39" s="113"/>
      <c r="C39" s="50">
        <f t="shared" ref="C39:J39" si="8">SUM(C37:C38)</f>
        <v>0</v>
      </c>
      <c r="D39" s="49">
        <f t="shared" si="8"/>
        <v>0</v>
      </c>
      <c r="E39" s="49">
        <f t="shared" si="8"/>
        <v>0</v>
      </c>
      <c r="F39" s="49">
        <f t="shared" si="8"/>
        <v>0</v>
      </c>
      <c r="G39" s="49">
        <f t="shared" si="8"/>
        <v>0</v>
      </c>
      <c r="H39" s="49">
        <f t="shared" si="8"/>
        <v>0</v>
      </c>
      <c r="I39" s="49">
        <f t="shared" si="8"/>
        <v>0</v>
      </c>
      <c r="J39" s="49">
        <f t="shared" si="8"/>
        <v>0</v>
      </c>
      <c r="K39" s="49">
        <f>SUM(K37:K38)</f>
        <v>0</v>
      </c>
      <c r="L39" s="88">
        <f>SUM(L37:L38)</f>
        <v>0</v>
      </c>
    </row>
    <row r="40" spans="1:12" ht="12.75" customHeight="1">
      <c r="A40" s="61" t="s">
        <v>442</v>
      </c>
      <c r="B40" s="113"/>
      <c r="C40" s="50">
        <f t="shared" ref="C40:L40" si="9">C34+C39</f>
        <v>0</v>
      </c>
      <c r="D40" s="49">
        <f t="shared" si="9"/>
        <v>0</v>
      </c>
      <c r="E40" s="49">
        <f t="shared" si="9"/>
        <v>0</v>
      </c>
      <c r="F40" s="49">
        <f t="shared" si="9"/>
        <v>0</v>
      </c>
      <c r="G40" s="49">
        <f t="shared" si="9"/>
        <v>0</v>
      </c>
      <c r="H40" s="49">
        <f t="shared" si="9"/>
        <v>0</v>
      </c>
      <c r="I40" s="49">
        <f t="shared" si="9"/>
        <v>0</v>
      </c>
      <c r="J40" s="49">
        <f t="shared" si="9"/>
        <v>0</v>
      </c>
      <c r="K40" s="49">
        <f t="shared" si="9"/>
        <v>0</v>
      </c>
      <c r="L40" s="88">
        <f t="shared" si="9"/>
        <v>0</v>
      </c>
    </row>
    <row r="41" spans="1:12" ht="5.0999999999999996" customHeight="1">
      <c r="A41" s="27"/>
      <c r="B41" s="94"/>
      <c r="C41" s="30"/>
      <c r="D41" s="29"/>
      <c r="E41" s="29"/>
      <c r="F41" s="29"/>
      <c r="G41" s="29"/>
      <c r="H41" s="29"/>
      <c r="I41" s="29"/>
      <c r="J41" s="29"/>
      <c r="K41" s="29"/>
      <c r="L41" s="87"/>
    </row>
    <row r="42" spans="1:12" ht="12.75" customHeight="1">
      <c r="A42" s="61" t="s">
        <v>277</v>
      </c>
      <c r="B42" s="113">
        <v>2</v>
      </c>
      <c r="C42" s="50">
        <f t="shared" ref="C42:J42" si="10">C25-C40</f>
        <v>0</v>
      </c>
      <c r="D42" s="49">
        <f t="shared" si="10"/>
        <v>0</v>
      </c>
      <c r="E42" s="49">
        <f t="shared" si="10"/>
        <v>0</v>
      </c>
      <c r="F42" s="49">
        <f t="shared" si="10"/>
        <v>0</v>
      </c>
      <c r="G42" s="49">
        <f>G25-G40</f>
        <v>0</v>
      </c>
      <c r="H42" s="49">
        <f t="shared" si="10"/>
        <v>0</v>
      </c>
      <c r="I42" s="49">
        <f t="shared" si="10"/>
        <v>0</v>
      </c>
      <c r="J42" s="49">
        <f t="shared" si="10"/>
        <v>0</v>
      </c>
      <c r="K42" s="49">
        <f>K25-K40</f>
        <v>0</v>
      </c>
      <c r="L42" s="88">
        <f>L25-L40</f>
        <v>0</v>
      </c>
    </row>
    <row r="43" spans="1:12" ht="5.0999999999999996" customHeight="1">
      <c r="A43" s="27"/>
      <c r="B43" s="94"/>
      <c r="C43" s="30"/>
      <c r="D43" s="29"/>
      <c r="E43" s="29"/>
      <c r="F43" s="29"/>
      <c r="G43" s="29"/>
      <c r="H43" s="29"/>
      <c r="I43" s="29"/>
      <c r="J43" s="29"/>
      <c r="K43" s="29"/>
      <c r="L43" s="87"/>
    </row>
    <row r="44" spans="1:12" ht="12.75" customHeight="1">
      <c r="A44" s="60" t="s">
        <v>160</v>
      </c>
      <c r="B44" s="94"/>
      <c r="C44" s="30"/>
      <c r="D44" s="29"/>
      <c r="E44" s="29"/>
      <c r="F44" s="29"/>
      <c r="G44" s="29"/>
      <c r="H44" s="29"/>
      <c r="I44" s="29"/>
      <c r="J44" s="29"/>
      <c r="K44" s="29"/>
      <c r="L44" s="87"/>
    </row>
    <row r="45" spans="1:12" ht="12.75" customHeight="1">
      <c r="A45" s="26" t="s">
        <v>105</v>
      </c>
      <c r="B45" s="94"/>
      <c r="C45" s="214"/>
      <c r="D45" s="215"/>
      <c r="E45" s="215"/>
      <c r="F45" s="215"/>
      <c r="G45" s="215"/>
      <c r="H45" s="215"/>
      <c r="I45" s="29">
        <f>SUM(E45:H45)</f>
        <v>0</v>
      </c>
      <c r="J45" s="29">
        <f>IF(D45=0,C45+I45,D45+I45)</f>
        <v>0</v>
      </c>
      <c r="K45" s="215"/>
      <c r="L45" s="216"/>
    </row>
    <row r="46" spans="1:12" ht="12.75" customHeight="1">
      <c r="A46" s="26" t="s">
        <v>377</v>
      </c>
      <c r="B46" s="94"/>
      <c r="C46" s="214"/>
      <c r="D46" s="215"/>
      <c r="E46" s="215"/>
      <c r="F46" s="215"/>
      <c r="G46" s="215"/>
      <c r="H46" s="215"/>
      <c r="I46" s="29">
        <f>SUM(E46:H46)</f>
        <v>0</v>
      </c>
      <c r="J46" s="29">
        <f>IF(D46=0,C46+I46,D46+I46)</f>
        <v>0</v>
      </c>
      <c r="K46" s="215"/>
      <c r="L46" s="216"/>
    </row>
    <row r="47" spans="1:12" ht="12.75" customHeight="1">
      <c r="A47" s="26" t="s">
        <v>614</v>
      </c>
      <c r="B47" s="94"/>
      <c r="C47" s="214"/>
      <c r="D47" s="215"/>
      <c r="E47" s="215"/>
      <c r="F47" s="215"/>
      <c r="G47" s="215"/>
      <c r="H47" s="215"/>
      <c r="I47" s="29">
        <f>SUM(E47:H47)</f>
        <v>0</v>
      </c>
      <c r="J47" s="29">
        <f>IF(D47=0,C47+I47,D47+I47)</f>
        <v>0</v>
      </c>
      <c r="K47" s="215"/>
      <c r="L47" s="216"/>
    </row>
    <row r="48" spans="1:12" ht="12.75" customHeight="1">
      <c r="A48" s="35" t="s">
        <v>153</v>
      </c>
      <c r="B48" s="116">
        <v>2</v>
      </c>
      <c r="C48" s="37">
        <f t="shared" ref="C48:H48" si="11">SUM(C45:C47)</f>
        <v>0</v>
      </c>
      <c r="D48" s="36">
        <f t="shared" si="11"/>
        <v>0</v>
      </c>
      <c r="E48" s="36">
        <f t="shared" si="11"/>
        <v>0</v>
      </c>
      <c r="F48" s="36">
        <f t="shared" si="11"/>
        <v>0</v>
      </c>
      <c r="G48" s="36">
        <f t="shared" si="11"/>
        <v>0</v>
      </c>
      <c r="H48" s="36">
        <f t="shared" si="11"/>
        <v>0</v>
      </c>
      <c r="I48" s="36">
        <f>SUM(I45:I46)</f>
        <v>0</v>
      </c>
      <c r="J48" s="36">
        <f>SUM(J45:J46)</f>
        <v>0</v>
      </c>
      <c r="K48" s="36">
        <f>SUM(K45:K47)</f>
        <v>0</v>
      </c>
      <c r="L48" s="115">
        <f>SUM(L45:L47)</f>
        <v>0</v>
      </c>
    </row>
    <row r="49" spans="1:12" ht="12.75" customHeight="1">
      <c r="A49" s="158" t="s">
        <v>176</v>
      </c>
      <c r="B49" s="44"/>
      <c r="C49" s="136"/>
      <c r="D49" s="136"/>
      <c r="E49" s="136"/>
      <c r="F49" s="136"/>
      <c r="G49" s="136"/>
      <c r="H49" s="136"/>
      <c r="I49" s="136"/>
      <c r="J49" s="136"/>
    </row>
    <row r="50" spans="1:12" ht="12.75" customHeight="1">
      <c r="A50" s="159" t="s">
        <v>436</v>
      </c>
      <c r="B50" s="159"/>
      <c r="C50" s="159"/>
      <c r="D50" s="159"/>
      <c r="E50" s="159"/>
      <c r="F50" s="159"/>
      <c r="G50" s="159"/>
      <c r="H50" s="159"/>
      <c r="I50" s="159"/>
      <c r="J50" s="159"/>
    </row>
    <row r="51" spans="1:12" ht="12.75" customHeight="1">
      <c r="A51" s="159" t="s">
        <v>112</v>
      </c>
      <c r="B51" s="159"/>
      <c r="C51" s="159"/>
      <c r="D51" s="159"/>
      <c r="E51" s="159"/>
      <c r="F51" s="159"/>
      <c r="G51" s="159"/>
      <c r="H51" s="159"/>
      <c r="I51" s="159"/>
      <c r="J51" s="159"/>
    </row>
    <row r="52" spans="1:12" ht="12.75" customHeight="1">
      <c r="A52" s="159" t="s">
        <v>438</v>
      </c>
      <c r="B52" s="159"/>
      <c r="C52" s="159"/>
      <c r="D52" s="159"/>
      <c r="E52" s="159"/>
      <c r="F52" s="159"/>
      <c r="G52" s="159"/>
      <c r="H52" s="159"/>
      <c r="I52" s="159"/>
      <c r="J52" s="159"/>
    </row>
    <row r="53" spans="1:12" ht="12.75" customHeight="1">
      <c r="A53" s="159" t="s">
        <v>439</v>
      </c>
      <c r="B53" s="159"/>
      <c r="C53" s="159"/>
      <c r="D53" s="159"/>
      <c r="E53" s="159"/>
      <c r="F53" s="159"/>
      <c r="G53" s="159"/>
      <c r="H53" s="159"/>
      <c r="I53" s="159"/>
      <c r="J53" s="159"/>
    </row>
    <row r="54" spans="1:12" ht="12.75" customHeight="1">
      <c r="A54" s="159" t="s">
        <v>232</v>
      </c>
      <c r="B54" s="159"/>
      <c r="C54" s="159"/>
      <c r="D54" s="159"/>
      <c r="E54" s="159"/>
      <c r="F54" s="159"/>
      <c r="G54" s="159"/>
      <c r="H54" s="159"/>
      <c r="I54" s="159"/>
      <c r="J54" s="159"/>
    </row>
    <row r="55" spans="1:12" ht="12.75" customHeight="1">
      <c r="A55" s="159" t="s">
        <v>233</v>
      </c>
      <c r="B55" s="159"/>
      <c r="C55" s="159"/>
      <c r="D55" s="159"/>
      <c r="E55" s="159"/>
      <c r="F55" s="159"/>
      <c r="G55" s="159"/>
      <c r="H55" s="159"/>
      <c r="I55" s="159"/>
      <c r="J55" s="159"/>
    </row>
    <row r="56" spans="1:12" ht="12.75" customHeight="1">
      <c r="A56" s="159" t="s">
        <v>234</v>
      </c>
      <c r="B56" s="44"/>
      <c r="C56" s="135"/>
      <c r="D56" s="135"/>
      <c r="E56" s="136"/>
      <c r="F56" s="136"/>
      <c r="G56" s="136"/>
      <c r="H56" s="136"/>
      <c r="I56" s="136"/>
      <c r="J56" s="136"/>
    </row>
    <row r="57" spans="1:12" ht="11.25" customHeight="1">
      <c r="A57" s="45" t="s">
        <v>248</v>
      </c>
      <c r="B57" s="44"/>
      <c r="C57" s="73">
        <f t="shared" ref="C57:L57" si="12">C42-C48</f>
        <v>0</v>
      </c>
      <c r="D57" s="73">
        <f t="shared" si="12"/>
        <v>0</v>
      </c>
      <c r="E57" s="73">
        <f t="shared" si="12"/>
        <v>0</v>
      </c>
      <c r="F57" s="73">
        <f t="shared" si="12"/>
        <v>0</v>
      </c>
      <c r="G57" s="73">
        <f t="shared" si="12"/>
        <v>0</v>
      </c>
      <c r="H57" s="73">
        <f t="shared" si="12"/>
        <v>0</v>
      </c>
      <c r="I57" s="73">
        <f t="shared" si="12"/>
        <v>0</v>
      </c>
      <c r="J57" s="73">
        <f t="shared" si="12"/>
        <v>0</v>
      </c>
      <c r="K57" s="73">
        <f t="shared" si="12"/>
        <v>0</v>
      </c>
      <c r="L57" s="73">
        <f t="shared" si="12"/>
        <v>0</v>
      </c>
    </row>
    <row r="58" spans="1:12" ht="11.25" customHeight="1">
      <c r="B58" s="20"/>
    </row>
    <row r="59" spans="1:12" ht="11.25" customHeight="1">
      <c r="B59" s="20"/>
    </row>
    <row r="60" spans="1:12" ht="11.25" customHeight="1">
      <c r="B60" s="20"/>
    </row>
    <row r="61" spans="1:12" ht="11.25" customHeight="1">
      <c r="B61" s="20"/>
    </row>
    <row r="62" spans="1:12" ht="11.25" customHeight="1">
      <c r="B62" s="20"/>
    </row>
    <row r="63" spans="1:12" ht="11.25" customHeight="1"/>
    <row r="64" spans="1:12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  <row r="88" ht="11.25" customHeight="1"/>
    <row r="89" ht="11.25" customHeight="1"/>
    <row r="90" ht="11.25" customHeight="1"/>
    <row r="91" ht="11.25" customHeight="1"/>
    <row r="92" ht="11.25" customHeight="1"/>
  </sheetData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3 K8:L13 C17:H23 K17:L23 C29:H33 K29:L33 C37:H38 K37:L38 C45:H47 K45:L47">
      <formula1>-999999999999</formula1>
      <formula2>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9" enableFormatConditionsCalculation="0">
    <tabColor indexed="44"/>
  </sheetPr>
  <dimension ref="A1:L87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2.75"/>
  <cols>
    <col min="1" max="1" width="35.7109375" style="20" customWidth="1"/>
    <col min="2" max="2" width="3.140625" style="48" customWidth="1"/>
    <col min="3" max="12" width="8.7109375" style="20" customWidth="1"/>
    <col min="13" max="13" width="9.85546875" style="20" customWidth="1"/>
    <col min="14" max="14" width="9.5703125" style="20" customWidth="1"/>
    <col min="15" max="15" width="9.85546875" style="20" customWidth="1"/>
    <col min="16" max="18" width="9.5703125" style="20" customWidth="1"/>
    <col min="19" max="19" width="9.85546875" style="20" customWidth="1"/>
    <col min="20" max="22" width="9.5703125" style="20" customWidth="1"/>
    <col min="23" max="24" width="9.85546875" style="20" customWidth="1"/>
    <col min="25" max="16384" width="9.140625" style="20"/>
  </cols>
  <sheetData>
    <row r="1" spans="1:12" ht="13.5">
      <c r="A1" s="19" t="str">
        <f>MEAB4&amp;" - "&amp;Date</f>
        <v xml:space="preserve"> - Table E5 Adjustments Budget - Cash Flows - </v>
      </c>
    </row>
    <row r="2" spans="1:12" ht="38.25">
      <c r="A2" s="426" t="str">
        <f>desc</f>
        <v>Description</v>
      </c>
      <c r="B2" s="426" t="str">
        <f>head27</f>
        <v>Ref</v>
      </c>
      <c r="C2" s="425" t="str">
        <f ca="1">Head9</f>
        <v>Budget Year 2014/15</v>
      </c>
      <c r="D2" s="422"/>
      <c r="E2" s="422"/>
      <c r="F2" s="422"/>
      <c r="G2" s="422"/>
      <c r="H2" s="422"/>
      <c r="I2" s="422"/>
      <c r="J2" s="423"/>
      <c r="K2" s="21" t="str">
        <f ca="1">Head10</f>
        <v>Budget Year +1 2015/16</v>
      </c>
      <c r="L2" s="85" t="str">
        <f ca="1">Head11</f>
        <v>Budget Year +2 2016/17</v>
      </c>
    </row>
    <row r="3" spans="1:12" ht="25.5">
      <c r="A3" s="427"/>
      <c r="B3" s="427"/>
      <c r="C3" s="143" t="str">
        <f>Head6</f>
        <v>Original Budget</v>
      </c>
      <c r="D3" s="141" t="str">
        <f>Head54</f>
        <v>Prior Adjusted</v>
      </c>
      <c r="E3" s="141" t="str">
        <f>Head59</f>
        <v>Downward adjusts</v>
      </c>
      <c r="F3" s="141" t="str">
        <f>Head58</f>
        <v>Parent muni.</v>
      </c>
      <c r="G3" s="141" t="str">
        <f>Head53</f>
        <v>Unfore. Unavoid.</v>
      </c>
      <c r="H3" s="141" t="str">
        <f>Head50</f>
        <v>Other Adjusts.</v>
      </c>
      <c r="I3" s="155" t="str">
        <f>Head56</f>
        <v>Total Adjusts.</v>
      </c>
      <c r="J3" s="155" t="str">
        <f>Head7</f>
        <v>Adjusted Budget</v>
      </c>
      <c r="K3" s="108" t="str">
        <f>Head7</f>
        <v>Adjusted Budget</v>
      </c>
      <c r="L3" s="164" t="str">
        <f>Head7</f>
        <v>Adjusted Budget</v>
      </c>
    </row>
    <row r="4" spans="1:12">
      <c r="A4" s="427"/>
      <c r="B4" s="427"/>
      <c r="C4" s="199"/>
      <c r="D4" s="200">
        <v>1</v>
      </c>
      <c r="E4" s="200">
        <v>2</v>
      </c>
      <c r="F4" s="200">
        <v>3</v>
      </c>
      <c r="G4" s="200">
        <v>4</v>
      </c>
      <c r="H4" s="200">
        <v>5</v>
      </c>
      <c r="I4" s="200">
        <v>6</v>
      </c>
      <c r="J4" s="200">
        <v>7</v>
      </c>
      <c r="K4" s="131"/>
      <c r="L4" s="132"/>
    </row>
    <row r="5" spans="1:12">
      <c r="A5" s="127" t="s">
        <v>199</v>
      </c>
      <c r="B5" s="128"/>
      <c r="C5" s="201" t="s">
        <v>111</v>
      </c>
      <c r="D5" s="202" t="s">
        <v>325</v>
      </c>
      <c r="E5" s="202" t="s">
        <v>81</v>
      </c>
      <c r="F5" s="202" t="s">
        <v>37</v>
      </c>
      <c r="G5" s="204" t="s">
        <v>139</v>
      </c>
      <c r="H5" s="204" t="s">
        <v>12</v>
      </c>
      <c r="I5" s="204" t="s">
        <v>13</v>
      </c>
      <c r="J5" s="204" t="s">
        <v>14</v>
      </c>
      <c r="K5" s="134"/>
      <c r="L5" s="173"/>
    </row>
    <row r="6" spans="1:12" ht="12.75" customHeight="1">
      <c r="A6" s="60" t="s">
        <v>335</v>
      </c>
      <c r="B6" s="94"/>
      <c r="C6" s="30"/>
      <c r="D6" s="29"/>
      <c r="E6" s="29"/>
      <c r="F6" s="29"/>
      <c r="G6" s="29"/>
      <c r="H6" s="29"/>
      <c r="I6" s="29"/>
      <c r="J6" s="29"/>
      <c r="K6" s="29"/>
      <c r="L6" s="87"/>
    </row>
    <row r="7" spans="1:12" ht="12.75" customHeight="1">
      <c r="A7" s="60" t="s">
        <v>371</v>
      </c>
      <c r="B7" s="94"/>
      <c r="C7" s="30"/>
      <c r="D7" s="29"/>
      <c r="E7" s="29"/>
      <c r="F7" s="29"/>
      <c r="G7" s="29"/>
      <c r="H7" s="29"/>
      <c r="I7" s="29"/>
      <c r="J7" s="29"/>
      <c r="K7" s="29"/>
      <c r="L7" s="87"/>
    </row>
    <row r="8" spans="1:12" ht="12.75" customHeight="1">
      <c r="A8" s="26" t="s">
        <v>214</v>
      </c>
      <c r="B8" s="94"/>
      <c r="C8" s="214"/>
      <c r="D8" s="215"/>
      <c r="E8" s="215"/>
      <c r="F8" s="215"/>
      <c r="G8" s="215"/>
      <c r="H8" s="215"/>
      <c r="I8" s="29">
        <f>SUM(E8:H8)</f>
        <v>0</v>
      </c>
      <c r="J8" s="29">
        <f>IF(D8=0,C8+I8,D8+I8)</f>
        <v>0</v>
      </c>
      <c r="K8" s="215"/>
      <c r="L8" s="216"/>
    </row>
    <row r="9" spans="1:12" ht="12.75" customHeight="1">
      <c r="A9" s="26" t="s">
        <v>215</v>
      </c>
      <c r="B9" s="94"/>
      <c r="C9" s="214"/>
      <c r="D9" s="215"/>
      <c r="E9" s="215"/>
      <c r="F9" s="215"/>
      <c r="G9" s="215"/>
      <c r="H9" s="215"/>
      <c r="I9" s="29">
        <f>SUM(E9:H9)</f>
        <v>0</v>
      </c>
      <c r="J9" s="29">
        <f>IF(D9=0,C9+I9,D9+I9)</f>
        <v>0</v>
      </c>
      <c r="K9" s="215"/>
      <c r="L9" s="216"/>
    </row>
    <row r="10" spans="1:12" ht="12.75" customHeight="1">
      <c r="A10" s="26" t="s">
        <v>216</v>
      </c>
      <c r="B10" s="94"/>
      <c r="C10" s="214"/>
      <c r="D10" s="215"/>
      <c r="E10" s="215"/>
      <c r="F10" s="215"/>
      <c r="G10" s="215"/>
      <c r="H10" s="215"/>
      <c r="I10" s="29">
        <f>SUM(E10:H10)</f>
        <v>0</v>
      </c>
      <c r="J10" s="29">
        <f>IF(D10=0,C10+I10,D10+I10)</f>
        <v>0</v>
      </c>
      <c r="K10" s="215"/>
      <c r="L10" s="216"/>
    </row>
    <row r="11" spans="1:12" ht="12.75" customHeight="1">
      <c r="A11" s="26" t="s">
        <v>357</v>
      </c>
      <c r="B11" s="94"/>
      <c r="C11" s="214"/>
      <c r="D11" s="215"/>
      <c r="E11" s="215"/>
      <c r="F11" s="215"/>
      <c r="G11" s="215"/>
      <c r="H11" s="215"/>
      <c r="I11" s="29">
        <f>SUM(E11:H11)</f>
        <v>0</v>
      </c>
      <c r="J11" s="29">
        <f>IF(D11=0,C11+I11,D11+I11)</f>
        <v>0</v>
      </c>
      <c r="K11" s="215"/>
      <c r="L11" s="216"/>
    </row>
    <row r="12" spans="1:12" ht="12.75" customHeight="1">
      <c r="A12" s="26" t="s">
        <v>198</v>
      </c>
      <c r="B12" s="94"/>
      <c r="C12" s="214"/>
      <c r="D12" s="215"/>
      <c r="E12" s="215"/>
      <c r="F12" s="215"/>
      <c r="G12" s="215"/>
      <c r="H12" s="215"/>
      <c r="I12" s="29">
        <f>SUM(E12:H12)</f>
        <v>0</v>
      </c>
      <c r="J12" s="29">
        <f>IF(D12=0,C12+I12,D12+I12)</f>
        <v>0</v>
      </c>
      <c r="K12" s="215"/>
      <c r="L12" s="216"/>
    </row>
    <row r="13" spans="1:12" ht="12.75" customHeight="1">
      <c r="A13" s="60" t="s">
        <v>372</v>
      </c>
      <c r="B13" s="94"/>
      <c r="C13" s="289"/>
      <c r="D13" s="261"/>
      <c r="E13" s="261"/>
      <c r="F13" s="261"/>
      <c r="G13" s="261"/>
      <c r="H13" s="261"/>
      <c r="I13" s="243"/>
      <c r="J13" s="243"/>
      <c r="K13" s="261"/>
      <c r="L13" s="265"/>
    </row>
    <row r="14" spans="1:12" ht="12.75" customHeight="1">
      <c r="A14" s="26" t="s">
        <v>217</v>
      </c>
      <c r="B14" s="94"/>
      <c r="C14" s="413"/>
      <c r="D14" s="414"/>
      <c r="E14" s="414"/>
      <c r="F14" s="414"/>
      <c r="G14" s="414"/>
      <c r="H14" s="414"/>
      <c r="I14" s="29">
        <f>SUM(E14:H14)</f>
        <v>0</v>
      </c>
      <c r="J14" s="29">
        <f>IF(D14=0,C14+I14,D14+I14)</f>
        <v>0</v>
      </c>
      <c r="K14" s="414"/>
      <c r="L14" s="415"/>
    </row>
    <row r="15" spans="1:12" ht="12.75" customHeight="1">
      <c r="A15" s="26" t="s">
        <v>17</v>
      </c>
      <c r="B15" s="94"/>
      <c r="C15" s="214"/>
      <c r="D15" s="215"/>
      <c r="E15" s="215"/>
      <c r="F15" s="215"/>
      <c r="G15" s="215"/>
      <c r="H15" s="215"/>
      <c r="I15" s="29">
        <f>SUM(E15:H15)</f>
        <v>0</v>
      </c>
      <c r="J15" s="29">
        <f>IF(D15=0,C15+I15,D15+I15)</f>
        <v>0</v>
      </c>
      <c r="K15" s="215"/>
      <c r="L15" s="216"/>
    </row>
    <row r="16" spans="1:12" ht="12.75" customHeight="1">
      <c r="A16" s="26" t="s">
        <v>359</v>
      </c>
      <c r="B16" s="94"/>
      <c r="C16" s="214"/>
      <c r="D16" s="215"/>
      <c r="E16" s="215"/>
      <c r="F16" s="215"/>
      <c r="G16" s="215"/>
      <c r="H16" s="215"/>
      <c r="I16" s="29">
        <f>SUM(E16:H16)</f>
        <v>0</v>
      </c>
      <c r="J16" s="29">
        <f>IF(D16=0,C16+I16,D16+I16)</f>
        <v>0</v>
      </c>
      <c r="K16" s="215"/>
      <c r="L16" s="216"/>
    </row>
    <row r="17" spans="1:12" ht="12.75" customHeight="1">
      <c r="A17" s="59" t="s">
        <v>917</v>
      </c>
      <c r="B17" s="94"/>
      <c r="C17" s="214"/>
      <c r="D17" s="215"/>
      <c r="E17" s="215"/>
      <c r="F17" s="215"/>
      <c r="G17" s="215"/>
      <c r="H17" s="215"/>
      <c r="I17" s="29">
        <f>SUM(E17:H17)</f>
        <v>0</v>
      </c>
      <c r="J17" s="29">
        <f>IF(D17=0,C17+I17,D17+I17)</f>
        <v>0</v>
      </c>
      <c r="K17" s="215"/>
      <c r="L17" s="216"/>
    </row>
    <row r="18" spans="1:12" ht="12.75" customHeight="1">
      <c r="A18" s="61" t="s">
        <v>362</v>
      </c>
      <c r="B18" s="113"/>
      <c r="C18" s="50">
        <f t="shared" ref="C18:I18" si="0">SUM(C8:C17)</f>
        <v>0</v>
      </c>
      <c r="D18" s="49">
        <f t="shared" si="0"/>
        <v>0</v>
      </c>
      <c r="E18" s="49">
        <f t="shared" si="0"/>
        <v>0</v>
      </c>
      <c r="F18" s="49">
        <f t="shared" si="0"/>
        <v>0</v>
      </c>
      <c r="G18" s="49">
        <f t="shared" si="0"/>
        <v>0</v>
      </c>
      <c r="H18" s="49">
        <f t="shared" si="0"/>
        <v>0</v>
      </c>
      <c r="I18" s="49">
        <f t="shared" si="0"/>
        <v>0</v>
      </c>
      <c r="J18" s="49">
        <f>SUM(J8:J17)</f>
        <v>0</v>
      </c>
      <c r="K18" s="49">
        <f>SUM(K8:K17)</f>
        <v>0</v>
      </c>
      <c r="L18" s="88">
        <f>SUM(L8:L17)</f>
        <v>0</v>
      </c>
    </row>
    <row r="19" spans="1:12" ht="5.0999999999999996" customHeight="1">
      <c r="A19" s="27"/>
      <c r="B19" s="94"/>
      <c r="C19" s="30"/>
      <c r="D19" s="29"/>
      <c r="E19" s="29"/>
      <c r="F19" s="29"/>
      <c r="G19" s="29"/>
      <c r="H19" s="29"/>
      <c r="I19" s="29"/>
      <c r="J19" s="29"/>
      <c r="K19" s="29"/>
      <c r="L19" s="87"/>
    </row>
    <row r="20" spans="1:12" ht="12.75" customHeight="1">
      <c r="A20" s="60" t="s">
        <v>249</v>
      </c>
      <c r="B20" s="94"/>
      <c r="C20" s="30"/>
      <c r="D20" s="29"/>
      <c r="E20" s="29"/>
      <c r="F20" s="29"/>
      <c r="G20" s="29"/>
      <c r="H20" s="29"/>
      <c r="I20" s="29"/>
      <c r="J20" s="29"/>
      <c r="K20" s="29"/>
      <c r="L20" s="87"/>
    </row>
    <row r="21" spans="1:12" ht="12.75" customHeight="1">
      <c r="A21" s="60" t="s">
        <v>371</v>
      </c>
      <c r="B21" s="94"/>
      <c r="C21" s="30"/>
      <c r="D21" s="29"/>
      <c r="E21" s="29"/>
      <c r="F21" s="29"/>
      <c r="G21" s="29"/>
      <c r="H21" s="29"/>
      <c r="I21" s="29"/>
      <c r="J21" s="29"/>
      <c r="K21" s="29"/>
      <c r="L21" s="87"/>
    </row>
    <row r="22" spans="1:12" ht="12.75" customHeight="1">
      <c r="A22" s="26" t="s">
        <v>393</v>
      </c>
      <c r="B22" s="94"/>
      <c r="C22" s="214"/>
      <c r="D22" s="215"/>
      <c r="E22" s="215"/>
      <c r="F22" s="215"/>
      <c r="G22" s="215"/>
      <c r="H22" s="215"/>
      <c r="I22" s="29">
        <f>SUM(E22:H22)</f>
        <v>0</v>
      </c>
      <c r="J22" s="29">
        <f>IF(D22=0,C22+I22,D22+I22)</f>
        <v>0</v>
      </c>
      <c r="K22" s="215"/>
      <c r="L22" s="216"/>
    </row>
    <row r="23" spans="1:12" ht="12.75" customHeight="1">
      <c r="A23" s="26" t="s">
        <v>6</v>
      </c>
      <c r="B23" s="94"/>
      <c r="C23" s="214"/>
      <c r="D23" s="215"/>
      <c r="E23" s="215"/>
      <c r="F23" s="215"/>
      <c r="G23" s="215"/>
      <c r="H23" s="215"/>
      <c r="I23" s="29">
        <f>SUM(E23:H23)</f>
        <v>0</v>
      </c>
      <c r="J23" s="29">
        <f>IF(D23=0,C23+I23,D23+I23)</f>
        <v>0</v>
      </c>
      <c r="K23" s="215"/>
      <c r="L23" s="216"/>
    </row>
    <row r="24" spans="1:12" ht="12.75" customHeight="1">
      <c r="A24" s="26" t="s">
        <v>360</v>
      </c>
      <c r="B24" s="100"/>
      <c r="C24" s="214"/>
      <c r="D24" s="215"/>
      <c r="E24" s="215"/>
      <c r="F24" s="215"/>
      <c r="G24" s="215"/>
      <c r="H24" s="215"/>
      <c r="I24" s="29">
        <f>SUM(E24:H24)</f>
        <v>0</v>
      </c>
      <c r="J24" s="29">
        <f>IF(D24=0,C24+I24,D24+I24)</f>
        <v>0</v>
      </c>
      <c r="K24" s="215"/>
      <c r="L24" s="216"/>
    </row>
    <row r="25" spans="1:12" ht="12.75" customHeight="1">
      <c r="A25" s="26" t="s">
        <v>361</v>
      </c>
      <c r="B25" s="94"/>
      <c r="C25" s="214"/>
      <c r="D25" s="215"/>
      <c r="E25" s="215"/>
      <c r="F25" s="215"/>
      <c r="G25" s="215"/>
      <c r="H25" s="215"/>
      <c r="I25" s="29">
        <f>SUM(E25:H25)</f>
        <v>0</v>
      </c>
      <c r="J25" s="29">
        <f>IF(D25=0,C25+I25,D25+I25)</f>
        <v>0</v>
      </c>
      <c r="K25" s="215"/>
      <c r="L25" s="216"/>
    </row>
    <row r="26" spans="1:12" ht="12.75" customHeight="1">
      <c r="A26" s="60" t="s">
        <v>372</v>
      </c>
      <c r="B26" s="94"/>
      <c r="C26" s="30"/>
      <c r="D26" s="29"/>
      <c r="E26" s="29"/>
      <c r="F26" s="29"/>
      <c r="G26" s="29"/>
      <c r="H26" s="29"/>
      <c r="I26" s="29"/>
      <c r="J26" s="29"/>
      <c r="K26" s="29"/>
      <c r="L26" s="87"/>
    </row>
    <row r="27" spans="1:12" ht="12.75" customHeight="1">
      <c r="A27" s="26" t="s">
        <v>218</v>
      </c>
      <c r="B27" s="94"/>
      <c r="C27" s="214"/>
      <c r="D27" s="215"/>
      <c r="E27" s="215"/>
      <c r="F27" s="215"/>
      <c r="G27" s="215"/>
      <c r="H27" s="215"/>
      <c r="I27" s="29">
        <f>SUM(E27:H27)</f>
        <v>0</v>
      </c>
      <c r="J27" s="29">
        <f>IF(D27=0,C27+I27,D27+I27)</f>
        <v>0</v>
      </c>
      <c r="K27" s="215"/>
      <c r="L27" s="216"/>
    </row>
    <row r="28" spans="1:12" ht="12.75" customHeight="1">
      <c r="A28" s="61" t="s">
        <v>363</v>
      </c>
      <c r="B28" s="113"/>
      <c r="C28" s="50">
        <f t="shared" ref="C28:L28" si="1">SUM(C22:C27)</f>
        <v>0</v>
      </c>
      <c r="D28" s="49">
        <f t="shared" si="1"/>
        <v>0</v>
      </c>
      <c r="E28" s="49">
        <f t="shared" si="1"/>
        <v>0</v>
      </c>
      <c r="F28" s="49">
        <f t="shared" si="1"/>
        <v>0</v>
      </c>
      <c r="G28" s="49">
        <f t="shared" si="1"/>
        <v>0</v>
      </c>
      <c r="H28" s="49">
        <f t="shared" si="1"/>
        <v>0</v>
      </c>
      <c r="I28" s="49">
        <f t="shared" si="1"/>
        <v>0</v>
      </c>
      <c r="J28" s="49">
        <f t="shared" si="1"/>
        <v>0</v>
      </c>
      <c r="K28" s="49">
        <f t="shared" si="1"/>
        <v>0</v>
      </c>
      <c r="L28" s="88">
        <f t="shared" si="1"/>
        <v>0</v>
      </c>
    </row>
    <row r="29" spans="1:12" ht="5.0999999999999996" customHeight="1">
      <c r="A29" s="27"/>
      <c r="B29" s="94"/>
      <c r="C29" s="30"/>
      <c r="D29" s="29"/>
      <c r="E29" s="29"/>
      <c r="F29" s="29"/>
      <c r="G29" s="29"/>
      <c r="H29" s="29"/>
      <c r="I29" s="29"/>
      <c r="J29" s="29"/>
      <c r="K29" s="29"/>
      <c r="L29" s="87"/>
    </row>
    <row r="30" spans="1:12" ht="12.75" customHeight="1">
      <c r="A30" s="60" t="s">
        <v>258</v>
      </c>
      <c r="B30" s="94"/>
      <c r="C30" s="30"/>
      <c r="D30" s="29"/>
      <c r="E30" s="29"/>
      <c r="F30" s="29"/>
      <c r="G30" s="29"/>
      <c r="H30" s="29"/>
      <c r="I30" s="29"/>
      <c r="J30" s="29"/>
      <c r="K30" s="29"/>
      <c r="L30" s="87"/>
    </row>
    <row r="31" spans="1:12" ht="12.75" customHeight="1">
      <c r="A31" s="60" t="s">
        <v>371</v>
      </c>
      <c r="B31" s="94"/>
      <c r="C31" s="30"/>
      <c r="D31" s="29"/>
      <c r="E31" s="29"/>
      <c r="F31" s="29"/>
      <c r="G31" s="29"/>
      <c r="H31" s="29"/>
      <c r="I31" s="29"/>
      <c r="J31" s="29"/>
      <c r="K31" s="29"/>
      <c r="L31" s="87"/>
    </row>
    <row r="32" spans="1:12" ht="12.75" customHeight="1">
      <c r="A32" s="26" t="s">
        <v>374</v>
      </c>
      <c r="B32" s="94"/>
      <c r="C32" s="214"/>
      <c r="D32" s="215"/>
      <c r="E32" s="215"/>
      <c r="F32" s="215"/>
      <c r="G32" s="215"/>
      <c r="H32" s="215"/>
      <c r="I32" s="29">
        <f>SUM(E32:H32)</f>
        <v>0</v>
      </c>
      <c r="J32" s="29">
        <f>IF(D32=0,C32+I32,D32+I32)</f>
        <v>0</v>
      </c>
      <c r="K32" s="215"/>
      <c r="L32" s="216"/>
    </row>
    <row r="33" spans="1:12" ht="12.75" customHeight="1">
      <c r="A33" s="26" t="s">
        <v>422</v>
      </c>
      <c r="B33" s="94"/>
      <c r="C33" s="214"/>
      <c r="D33" s="215"/>
      <c r="E33" s="215"/>
      <c r="F33" s="215"/>
      <c r="G33" s="215"/>
      <c r="H33" s="215"/>
      <c r="I33" s="29">
        <f>SUM(E33:H33)</f>
        <v>0</v>
      </c>
      <c r="J33" s="29">
        <f>IF(D33=0,C33+I33,D33+I33)</f>
        <v>0</v>
      </c>
      <c r="K33" s="215"/>
      <c r="L33" s="216"/>
    </row>
    <row r="34" spans="1:12" ht="12.75" customHeight="1">
      <c r="A34" s="26" t="s">
        <v>918</v>
      </c>
      <c r="B34" s="94"/>
      <c r="C34" s="214"/>
      <c r="D34" s="215"/>
      <c r="E34" s="215"/>
      <c r="F34" s="215"/>
      <c r="G34" s="215"/>
      <c r="H34" s="215"/>
      <c r="I34" s="29">
        <f>SUM(E34:H34)</f>
        <v>0</v>
      </c>
      <c r="J34" s="29">
        <f>IF(D34=0,C34+I34,D34+I34)</f>
        <v>0</v>
      </c>
      <c r="K34" s="215"/>
      <c r="L34" s="216"/>
    </row>
    <row r="35" spans="1:12" ht="12.75" customHeight="1">
      <c r="A35" s="60" t="s">
        <v>372</v>
      </c>
      <c r="B35" s="94"/>
      <c r="C35" s="30"/>
      <c r="D35" s="29"/>
      <c r="E35" s="29"/>
      <c r="F35" s="29"/>
      <c r="G35" s="29"/>
      <c r="H35" s="29"/>
      <c r="I35" s="29"/>
      <c r="J35" s="29"/>
      <c r="K35" s="29"/>
      <c r="L35" s="87"/>
    </row>
    <row r="36" spans="1:12" ht="12.75" customHeight="1">
      <c r="A36" s="26" t="s">
        <v>373</v>
      </c>
      <c r="B36" s="94"/>
      <c r="C36" s="214"/>
      <c r="D36" s="215"/>
      <c r="E36" s="215"/>
      <c r="F36" s="215"/>
      <c r="G36" s="215"/>
      <c r="H36" s="215"/>
      <c r="I36" s="29">
        <f>SUM(E36:H36)</f>
        <v>0</v>
      </c>
      <c r="J36" s="29">
        <f>IF(D36=0,C36+I36,D36+I36)</f>
        <v>0</v>
      </c>
      <c r="K36" s="215"/>
      <c r="L36" s="216"/>
    </row>
    <row r="37" spans="1:12" ht="12.75" customHeight="1">
      <c r="A37" s="61" t="s">
        <v>364</v>
      </c>
      <c r="B37" s="113"/>
      <c r="C37" s="50">
        <f>SUM(C32:C36)</f>
        <v>0</v>
      </c>
      <c r="D37" s="49">
        <f t="shared" ref="D37:L37" si="2">SUM(D32:D36)</f>
        <v>0</v>
      </c>
      <c r="E37" s="49">
        <f t="shared" si="2"/>
        <v>0</v>
      </c>
      <c r="F37" s="49">
        <f t="shared" si="2"/>
        <v>0</v>
      </c>
      <c r="G37" s="49">
        <f t="shared" si="2"/>
        <v>0</v>
      </c>
      <c r="H37" s="49">
        <f t="shared" si="2"/>
        <v>0</v>
      </c>
      <c r="I37" s="49">
        <f t="shared" si="2"/>
        <v>0</v>
      </c>
      <c r="J37" s="49">
        <f t="shared" si="2"/>
        <v>0</v>
      </c>
      <c r="K37" s="49">
        <f t="shared" si="2"/>
        <v>0</v>
      </c>
      <c r="L37" s="88">
        <f t="shared" si="2"/>
        <v>0</v>
      </c>
    </row>
    <row r="38" spans="1:12" ht="5.0999999999999996" customHeight="1">
      <c r="A38" s="27"/>
      <c r="B38" s="94"/>
      <c r="C38" s="30"/>
      <c r="D38" s="29"/>
      <c r="E38" s="29"/>
      <c r="F38" s="29"/>
      <c r="G38" s="29"/>
      <c r="H38" s="29"/>
      <c r="I38" s="29"/>
      <c r="J38" s="29"/>
      <c r="K38" s="29"/>
      <c r="L38" s="87"/>
    </row>
    <row r="39" spans="1:12" ht="12.75" customHeight="1">
      <c r="A39" s="61" t="s">
        <v>375</v>
      </c>
      <c r="B39" s="113"/>
      <c r="C39" s="50">
        <f t="shared" ref="C39:L39" si="3">C18+C28+C37</f>
        <v>0</v>
      </c>
      <c r="D39" s="49">
        <f t="shared" si="3"/>
        <v>0</v>
      </c>
      <c r="E39" s="49">
        <f t="shared" si="3"/>
        <v>0</v>
      </c>
      <c r="F39" s="49">
        <f t="shared" si="3"/>
        <v>0</v>
      </c>
      <c r="G39" s="49">
        <f t="shared" si="3"/>
        <v>0</v>
      </c>
      <c r="H39" s="49">
        <f t="shared" si="3"/>
        <v>0</v>
      </c>
      <c r="I39" s="49">
        <f t="shared" si="3"/>
        <v>0</v>
      </c>
      <c r="J39" s="49">
        <f t="shared" si="3"/>
        <v>0</v>
      </c>
      <c r="K39" s="49">
        <f t="shared" si="3"/>
        <v>0</v>
      </c>
      <c r="L39" s="88">
        <f t="shared" si="3"/>
        <v>0</v>
      </c>
    </row>
    <row r="40" spans="1:12" ht="12.75" customHeight="1">
      <c r="A40" s="26" t="s">
        <v>337</v>
      </c>
      <c r="B40" s="94">
        <v>8</v>
      </c>
      <c r="C40" s="30">
        <f>C41-C39</f>
        <v>0</v>
      </c>
      <c r="D40" s="29">
        <f>C41</f>
        <v>0</v>
      </c>
      <c r="E40" s="29">
        <f>D41</f>
        <v>0</v>
      </c>
      <c r="F40" s="29">
        <f>$E$40</f>
        <v>0</v>
      </c>
      <c r="G40" s="29">
        <f>$E$40</f>
        <v>0</v>
      </c>
      <c r="H40" s="29">
        <f>$E$40</f>
        <v>0</v>
      </c>
      <c r="I40" s="29">
        <f>$E$40</f>
        <v>0</v>
      </c>
      <c r="J40" s="29">
        <f>$E$40</f>
        <v>0</v>
      </c>
      <c r="K40" s="29">
        <f>J41</f>
        <v>0</v>
      </c>
      <c r="L40" s="87">
        <f>K41</f>
        <v>0</v>
      </c>
    </row>
    <row r="41" spans="1:12" ht="12.75" customHeight="1">
      <c r="A41" s="82" t="s">
        <v>279</v>
      </c>
      <c r="B41" s="74">
        <v>8</v>
      </c>
      <c r="C41" s="70">
        <f>'E4-FinPos'!C8+'E4-FinPos'!C9-'E4-FinPos'!C29</f>
        <v>0</v>
      </c>
      <c r="D41" s="69">
        <f t="shared" ref="D41:L41" si="4">D39+D40</f>
        <v>0</v>
      </c>
      <c r="E41" s="69">
        <f t="shared" si="4"/>
        <v>0</v>
      </c>
      <c r="F41" s="69">
        <f t="shared" si="4"/>
        <v>0</v>
      </c>
      <c r="G41" s="69">
        <f t="shared" si="4"/>
        <v>0</v>
      </c>
      <c r="H41" s="69">
        <f t="shared" si="4"/>
        <v>0</v>
      </c>
      <c r="I41" s="69">
        <f t="shared" si="4"/>
        <v>0</v>
      </c>
      <c r="J41" s="69">
        <f t="shared" si="4"/>
        <v>0</v>
      </c>
      <c r="K41" s="69">
        <f t="shared" si="4"/>
        <v>0</v>
      </c>
      <c r="L41" s="105">
        <f t="shared" si="4"/>
        <v>0</v>
      </c>
    </row>
    <row r="42" spans="1:12" ht="12.75" customHeight="1">
      <c r="A42" s="38" t="s">
        <v>176</v>
      </c>
      <c r="B42" s="44"/>
      <c r="C42" s="55"/>
      <c r="D42" s="55"/>
      <c r="E42" s="53"/>
      <c r="F42" s="53"/>
      <c r="G42" s="53"/>
      <c r="H42" s="53"/>
      <c r="I42" s="53"/>
      <c r="J42" s="53"/>
      <c r="K42" s="53"/>
      <c r="L42" s="53"/>
    </row>
    <row r="43" spans="1:12" ht="12.75" customHeight="1">
      <c r="A43" s="159" t="s">
        <v>436</v>
      </c>
      <c r="B43" s="44"/>
      <c r="C43" s="55"/>
      <c r="D43" s="55"/>
      <c r="E43" s="53"/>
      <c r="F43" s="53"/>
      <c r="G43" s="53"/>
      <c r="H43" s="53"/>
      <c r="I43" s="53"/>
      <c r="J43" s="53"/>
      <c r="K43" s="53"/>
      <c r="L43" s="53"/>
    </row>
    <row r="44" spans="1:12" ht="12.75" customHeight="1">
      <c r="A44" s="159" t="s">
        <v>112</v>
      </c>
      <c r="B44" s="44"/>
      <c r="C44" s="55"/>
      <c r="D44" s="55"/>
      <c r="E44" s="53"/>
      <c r="F44" s="53"/>
      <c r="G44" s="53"/>
      <c r="H44" s="53"/>
      <c r="I44" s="53"/>
      <c r="J44" s="53"/>
      <c r="K44" s="53"/>
      <c r="L44" s="53"/>
    </row>
    <row r="45" spans="1:12" ht="12.75" customHeight="1">
      <c r="A45" s="159" t="s">
        <v>438</v>
      </c>
      <c r="B45" s="44"/>
      <c r="C45" s="55"/>
      <c r="D45" s="55"/>
      <c r="E45" s="53"/>
      <c r="F45" s="53"/>
      <c r="G45" s="53"/>
      <c r="H45" s="53"/>
      <c r="I45" s="53"/>
      <c r="J45" s="53"/>
      <c r="K45" s="53"/>
      <c r="L45" s="53"/>
    </row>
    <row r="46" spans="1:12" ht="12.75" customHeight="1">
      <c r="A46" s="159" t="s">
        <v>439</v>
      </c>
      <c r="B46" s="44"/>
      <c r="C46" s="55"/>
      <c r="D46" s="55"/>
      <c r="E46" s="53"/>
      <c r="F46" s="53"/>
      <c r="G46" s="53"/>
      <c r="H46" s="53"/>
      <c r="I46" s="53"/>
      <c r="J46" s="53"/>
      <c r="K46" s="53"/>
      <c r="L46" s="53"/>
    </row>
    <row r="47" spans="1:12" ht="12.75" customHeight="1">
      <c r="A47" s="159" t="s">
        <v>232</v>
      </c>
      <c r="B47" s="44"/>
      <c r="C47" s="55"/>
      <c r="D47" s="55"/>
      <c r="E47" s="53"/>
      <c r="F47" s="53"/>
      <c r="G47" s="53"/>
      <c r="H47" s="53"/>
      <c r="I47" s="53"/>
      <c r="J47" s="53"/>
      <c r="K47" s="53"/>
      <c r="L47" s="53"/>
    </row>
    <row r="48" spans="1:12" ht="12.75" customHeight="1">
      <c r="A48" s="159" t="s">
        <v>233</v>
      </c>
      <c r="B48" s="44"/>
      <c r="C48" s="55"/>
      <c r="D48" s="55"/>
      <c r="E48" s="53"/>
      <c r="F48" s="53"/>
      <c r="G48" s="53"/>
      <c r="H48" s="53"/>
      <c r="I48" s="53"/>
      <c r="J48" s="53"/>
      <c r="K48" s="53"/>
      <c r="L48" s="53"/>
    </row>
    <row r="49" spans="1:12" ht="12.75" customHeight="1">
      <c r="A49" s="159" t="s">
        <v>234</v>
      </c>
      <c r="B49" s="44"/>
      <c r="C49" s="55"/>
      <c r="D49" s="55"/>
      <c r="E49" s="53"/>
      <c r="F49" s="53"/>
      <c r="G49" s="53"/>
      <c r="H49" s="53"/>
      <c r="I49" s="53"/>
      <c r="J49" s="53"/>
      <c r="K49" s="53"/>
      <c r="L49" s="53"/>
    </row>
    <row r="50" spans="1:12" ht="12.75" customHeight="1">
      <c r="A50" s="314" t="s">
        <v>592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</row>
    <row r="51" spans="1:12" ht="12.75" customHeight="1">
      <c r="A51" s="45" t="s">
        <v>141</v>
      </c>
      <c r="B51" s="39"/>
      <c r="C51" s="28">
        <f>'E4-FinPos'!C8+'E4-FinPos'!C9-'E4-FinPos'!C29</f>
        <v>0</v>
      </c>
      <c r="D51" s="28">
        <f>'E4-FinPos'!D8+'E4-FinPos'!D9-'E4-FinPos'!D29</f>
        <v>0</v>
      </c>
      <c r="E51" s="28"/>
      <c r="F51" s="28"/>
      <c r="G51" s="28"/>
      <c r="H51" s="28"/>
      <c r="I51" s="28"/>
      <c r="J51" s="28">
        <f>'E4-FinPos'!J8+'E4-FinPos'!J9-'E4-FinPos'!J29</f>
        <v>0</v>
      </c>
      <c r="K51" s="28">
        <f>'E4-FinPos'!K8+'E4-FinPos'!K9-'E4-FinPos'!K29</f>
        <v>0</v>
      </c>
      <c r="L51" s="28">
        <f>'E4-FinPos'!L8+'E4-FinPos'!L9-'E4-FinPos'!L29</f>
        <v>0</v>
      </c>
    </row>
    <row r="52" spans="1:12" ht="11.25" customHeight="1">
      <c r="A52" s="45"/>
      <c r="B52" s="44"/>
      <c r="C52" s="45"/>
      <c r="D52" s="45"/>
      <c r="E52" s="46"/>
      <c r="F52" s="46"/>
      <c r="G52" s="46"/>
      <c r="H52" s="46"/>
      <c r="I52" s="46"/>
      <c r="J52" s="46"/>
      <c r="K52" s="46"/>
      <c r="L52" s="46"/>
    </row>
    <row r="53" spans="1:12" ht="11.25" customHeight="1"/>
    <row r="54" spans="1:12" ht="11.25" customHeight="1"/>
    <row r="55" spans="1:12" ht="11.25" customHeight="1"/>
    <row r="56" spans="1:12" ht="11.25" customHeight="1"/>
    <row r="57" spans="1:12" ht="11.25" customHeight="1"/>
    <row r="58" spans="1:12" ht="11.25" customHeight="1"/>
    <row r="59" spans="1:12" ht="11.25" customHeight="1"/>
    <row r="60" spans="1:12" ht="11.25" customHeight="1"/>
    <row r="61" spans="1:12" ht="11.25" customHeight="1"/>
    <row r="62" spans="1:12" ht="11.25" customHeight="1"/>
    <row r="63" spans="1:12" ht="11.25" customHeight="1"/>
    <row r="64" spans="1:12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  <row r="83" ht="11.25" customHeight="1"/>
    <row r="84" ht="11.25" customHeight="1"/>
    <row r="85" ht="11.25" customHeight="1"/>
    <row r="86" ht="11.25" customHeight="1"/>
    <row r="87" ht="11.25" customHeight="1"/>
  </sheetData>
  <mergeCells count="3">
    <mergeCell ref="C2:J2"/>
    <mergeCell ref="A2:A4"/>
    <mergeCell ref="B2:B4"/>
  </mergeCells>
  <phoneticPr fontId="2" type="noConversion"/>
  <dataValidations count="1">
    <dataValidation type="whole" allowBlank="1" showInputMessage="1" showErrorMessage="1" sqref="C8:H12 K8:L12 C14:H17 K14:L17 C22:H25 K22:L25 C27:H27 K27:L27 C32:H34 K32:L34 C36:H36 K36:L36">
      <formula1>-999999999999</formula1>
      <formula2>999999999999</formula2>
    </dataValidation>
  </dataValidations>
  <pageMargins left="0.75" right="0.75" top="1" bottom="1" header="0.5" footer="0.5"/>
  <pageSetup paperSize="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1E2492-A0BE-41C6-B845-F246150A3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B58C9F-C5EB-46F8-A32D-887374510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97C8CD7-589D-427A-B300-8C7B0FBB4328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110</vt:i4>
      </vt:variant>
    </vt:vector>
  </HeadingPairs>
  <TitlesOfParts>
    <vt:vector size="128" baseType="lpstr">
      <vt:lpstr>START</vt:lpstr>
      <vt:lpstr>Instructions</vt:lpstr>
      <vt:lpstr>Template names</vt:lpstr>
      <vt:lpstr>Lookup and lists</vt:lpstr>
      <vt:lpstr>E1-Sum</vt:lpstr>
      <vt:lpstr>E2-FinPerf</vt:lpstr>
      <vt:lpstr>E3-Capex</vt:lpstr>
      <vt:lpstr>E4-FinPos</vt:lpstr>
      <vt:lpstr>E5-CFlow</vt:lpstr>
      <vt:lpstr>SE1</vt:lpstr>
      <vt:lpstr>SE2</vt:lpstr>
      <vt:lpstr>SE3</vt:lpstr>
      <vt:lpstr>SE4</vt:lpstr>
      <vt:lpstr>SE5</vt:lpstr>
      <vt:lpstr>SE6a</vt:lpstr>
      <vt:lpstr>SE6b</vt:lpstr>
      <vt:lpstr>SE6c</vt:lpstr>
      <vt:lpstr>SE7</vt:lpstr>
      <vt:lpstr>basedesc</vt:lpstr>
      <vt:lpstr>Capex</vt:lpstr>
      <vt:lpstr>Cash1</vt:lpstr>
      <vt:lpstr>Cash2</vt:lpstr>
      <vt:lpstr>Instructions!Date</vt:lpstr>
      <vt:lpstr>Date</vt:lpstr>
      <vt:lpstr>desc</vt:lpstr>
      <vt:lpstr>entity</vt:lpstr>
      <vt:lpstr>fdil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head1A</vt:lpstr>
      <vt:lpstr>head1b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Head3a</vt:lpstr>
      <vt:lpstr>Head4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MEAB1</vt:lpstr>
      <vt:lpstr>MEAB10a</vt:lpstr>
      <vt:lpstr>MEAB10b</vt:lpstr>
      <vt:lpstr>MEAB10c</vt:lpstr>
      <vt:lpstr>MEAB11</vt:lpstr>
      <vt:lpstr>MEAB12</vt:lpstr>
      <vt:lpstr>MEAB2</vt:lpstr>
      <vt:lpstr>MEAB3</vt:lpstr>
      <vt:lpstr>MEAB4</vt:lpstr>
      <vt:lpstr>MEAB5</vt:lpstr>
      <vt:lpstr>MEAB6</vt:lpstr>
      <vt:lpstr>MEAB7</vt:lpstr>
      <vt:lpstr>MEAB8</vt:lpstr>
      <vt:lpstr>MEAB9</vt:lpstr>
      <vt:lpstr>MEABsum</vt:lpstr>
      <vt:lpstr>Instructions!MTREF</vt:lpstr>
      <vt:lpstr>MTREF</vt:lpstr>
      <vt:lpstr>muni</vt:lpstr>
      <vt:lpstr>munishort</vt:lpstr>
      <vt:lpstr>'E1-Sum'!Print_Area</vt:lpstr>
      <vt:lpstr>'E2-FinPerf'!Print_Area</vt:lpstr>
      <vt:lpstr>'E3-Capex'!Print_Area</vt:lpstr>
      <vt:lpstr>'E4-FinPos'!Print_Area</vt:lpstr>
      <vt:lpstr>'E5-CFlow'!Print_Area</vt:lpstr>
      <vt:lpstr>Instructions!Print_Area</vt:lpstr>
      <vt:lpstr>SE1!Print_Area</vt:lpstr>
      <vt:lpstr>SE3!Print_Area</vt:lpstr>
      <vt:lpstr>SE4!Print_Area</vt:lpstr>
      <vt:lpstr>SE5!Print_Area</vt:lpstr>
      <vt:lpstr>RandM</vt:lpstr>
      <vt:lpstr>result</vt:lpstr>
      <vt:lpstr>SFPerf1</vt:lpstr>
      <vt:lpstr>SFPerf2</vt:lpstr>
      <vt:lpstr>SFpos1</vt:lpstr>
      <vt:lpstr>SFpos2</vt:lpstr>
      <vt:lpstr>Vdesc</vt:lpstr>
    </vt:vector>
  </TitlesOfParts>
  <Company>ctc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oupa</cp:lastModifiedBy>
  <cp:lastPrinted>2015-03-02T08:34:53Z</cp:lastPrinted>
  <dcterms:created xsi:type="dcterms:W3CDTF">2004-04-07T16:19:08Z</dcterms:created>
  <dcterms:modified xsi:type="dcterms:W3CDTF">2015-03-02T08:42:30Z</dcterms:modified>
</cp:coreProperties>
</file>